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lpidia\Desktop\"/>
    </mc:Choice>
  </mc:AlternateContent>
  <bookViews>
    <workbookView xWindow="0" yWindow="0" windowWidth="28800" windowHeight="12825"/>
  </bookViews>
  <sheets>
    <sheet name="PLAN DE ACCION 2024" sheetId="3" r:id="rId1"/>
    <sheet name="borrador plan de accion" sheetId="5" state="hidden" r:id="rId2"/>
    <sheet name="presu inicial 2024" sheetId="6" state="hidden" r:id="rId3"/>
    <sheet name="poai 2024" sheetId="4" state="hidden" r:id="rId4"/>
  </sheets>
  <externalReferences>
    <externalReference r:id="rId5"/>
    <externalReference r:id="rId6"/>
    <externalReference r:id="rId7"/>
    <externalReference r:id="rId8"/>
    <externalReference r:id="rId9"/>
  </externalReferences>
  <definedNames>
    <definedName name="__123Graph_B" hidden="1">'[1]GIROS SITUAD.FISCAL- 2000'!#REF!</definedName>
    <definedName name="__123Graph_D" hidden="1">'[1]GIROS SITUAD.FISCAL- 2000'!#REF!</definedName>
    <definedName name="__123Graph_F" hidden="1">'[1]GIROS SITUAD.FISCAL- 2000'!#REF!</definedName>
    <definedName name="__123Graph_X" hidden="1">'[1]GIROS SITUAD.FISCAL- 2000'!#REF!</definedName>
    <definedName name="_xlnm._FilterDatabase" localSheetId="1" hidden="1">'borrador plan de accion'!$A$1:$EB$109</definedName>
    <definedName name="_xlnm._FilterDatabase" localSheetId="0" hidden="1">'PLAN DE ACCION 2024'!$A$9:$BM$126</definedName>
    <definedName name="_xlnm._FilterDatabase" localSheetId="3" hidden="1">'poai 2024'!$A$6:$BY$6</definedName>
    <definedName name="_xlnm._FilterDatabase" localSheetId="2" hidden="1">'presu inicial 2024'!$A$1:$S$43</definedName>
    <definedName name="_Order1" hidden="1">255</definedName>
    <definedName name="_Order2" hidden="1">255</definedName>
    <definedName name="_sgp2009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_Table1_Out" hidden="1">[2]CARBOCOL!#REF!</definedName>
    <definedName name="_Table2_In2" hidden="1">[3]ANUAL1!#REF!</definedName>
    <definedName name="_Table2_Out" hidden="1">[2]CARBOCOL!#REF!</definedName>
    <definedName name="Agricultura" hidden="1">'[1]GIROS SITUAD.FISCAL- 2000'!#REF!</definedName>
    <definedName name="alumbrad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ambiente" hidden="1">'[1]GIROS SITUAD.FISCAL- 2000'!#REF!</definedName>
    <definedName name="_xlnm.Print_Area" localSheetId="0">'PLAN DE ACCION 2024'!$A$2:$BL$108</definedName>
    <definedName name="CPC">#REF!</definedName>
    <definedName name="csccsdc" hidden="1">'[4]Seguimiento CSF'!#REF!,'[4]Seguimiento CSF'!$67:$67,'[4]Seguimiento CSF'!#REF!,'[4]Seguimiento CSF'!#REF!</definedName>
    <definedName name="CUADORS" hidden="1">'[4]Seguimiento CSF'!$11:$12,'[4]Seguimiento CSF'!#REF!,'[4]Seguimiento CSF'!$45:$46,'[4]Seguimiento CSF'!$48:$57,'[4]Seguimiento CSF'!$61:$63,'[4]Seguimiento CSF'!$65:$66,'[4]Seguimiento CSF'!$72:$82,'[4]Seguimiento CSF'!$89:$92,'[4]Seguimiento CSF'!$114:$116,'[4]Seguimiento CSF'!$118:$122,'[4]Seguimiento CSF'!$129:$132,'[4]Seguimiento CSF'!$134:$135</definedName>
    <definedName name="Cuadros" hidden="1">'[4]Seguimiento CSF'!#REF!,'[4]Seguimiento CSF'!#REF!,'[4]Seguimiento CSF'!#REF!</definedName>
    <definedName name="cv"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Cwvu.ComparEneMar9697." hidden="1">'[4]Seguimiento CSF'!#REF!,'[4]Seguimiento CSF'!$30:$34,'[4]Seguimiento CSF'!$104:$104,'[4]Seguimiento CSF'!#REF!,'[4]Seguimiento CSF'!#REF!,'[4]Seguimiento CSF'!$124:$125</definedName>
    <definedName name="Cwvu.EneFeb." hidden="1">'[4]Seguimiento CSF'!#REF!,'[4]Seguimiento CSF'!#REF!</definedName>
    <definedName name="Cwvu.EneMar." hidden="1">'[4]Seguimiento CSF'!#REF!,'[4]Seguimiento CSF'!$67:$67,'[4]Seguimiento CSF'!#REF!,'[4]Seguimiento CSF'!#REF!</definedName>
    <definedName name="Cwvu.Formato._.Corto." hidden="1">'[4]Seguimiento CSF'!$11:$12,'[4]Seguimiento CSF'!#REF!,'[4]Seguimiento CSF'!$45:$46,'[4]Seguimiento CSF'!$48:$57,'[4]Seguimiento CSF'!$61:$63,'[4]Seguimiento CSF'!$65:$66,'[4]Seguimiento CSF'!$72:$82,'[4]Seguimiento CSF'!$89:$92,'[4]Seguimiento CSF'!$114:$116,'[4]Seguimiento CSF'!$118:$122,'[4]Seguimiento CSF'!$129:$132,'[4]Seguimiento CSF'!$134:$135</definedName>
    <definedName name="Cwvu.Formato._.Total." hidden="1">'[4]Seguimiento CSF'!#REF!,'[4]Seguimiento CSF'!#REF!,'[4]Seguimiento CSF'!#REF!</definedName>
    <definedName name="dcsdcs" hidden="1">'[4]Seguimiento CSF'!$11:$12,'[4]Seguimiento CSF'!#REF!,'[4]Seguimiento CSF'!$45:$46,'[4]Seguimiento CSF'!$48:$57,'[4]Seguimiento CSF'!$61:$63,'[4]Seguimiento CSF'!$65:$66,'[4]Seguimiento CSF'!$72:$82,'[4]Seguimiento CSF'!$89:$92,'[4]Seguimiento CSF'!$114:$116,'[4]Seguimiento CSF'!$118:$122,'[4]Seguimiento CSF'!$129:$132,'[4]Seguimiento CSF'!$134:$135</definedName>
    <definedName name="DDD"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fasd" hidden="1">[2]CARBOCOL!#REF!</definedName>
    <definedName name="dghfdgj" hidden="1">{TRUE,TRUE,-2.75,-17.75,483,276.75,FALSE,TRUE,TRUE,TRUE,0,3,15,1,110,11,8,4,TRUE,TRUE,3,TRUE,1,TRUE,75,"Swvu.EneFeb.","ACwvu.EneFeb.",#N/A,FALSE,FALSE,1.24,0.787401575,0.74,0.984251969,1,"","",FALSE,FALSE,FALSE,FALSE,1,#N/A,1,1,#DIV/0!,FALSE,"Rwvu.EneFeb.","Cwvu.EneFeb.",FALSE,FALSE,FALSE,1,300,300,FALSE,FALSE,TRUE,TRUE,TRUE}</definedName>
    <definedName name="DGSFGH" hidden="1">'[4]Seguimiento CSF'!$11:$12,'[4]Seguimiento CSF'!#REF!,'[4]Seguimiento CSF'!$45:$46,'[4]Seguimiento CSF'!$48:$57,'[4]Seguimiento CSF'!$61:$63,'[4]Seguimiento CSF'!$65:$66,'[4]Seguimiento CSF'!$72:$82,'[4]Seguimiento CSF'!$89:$92,'[4]Seguimiento CSF'!$114:$116,'[4]Seguimiento CSF'!$118:$122,'[4]Seguimiento CSF'!$129:$132,'[4]Seguimiento CSF'!$134:$135</definedName>
    <definedName name="ds"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fff" hidden="1">{TRUE,TRUE,-2.75,-17.75,483,276.75,FALSE,TRUE,TRUE,TRUE,0,3,15,1,110,11,8,4,TRUE,TRUE,3,TRUE,1,TRUE,75,"Swvu.EneFeb.","ACwvu.EneFeb.",#N/A,FALSE,FALSE,1.24,0.787401575,0.74,0.984251969,1,"","",FALSE,FALSE,FALSE,FALSE,1,#N/A,1,1,#DIV/0!,FALSE,"Rwvu.EneFeb.","Cwvu.EneFeb.",FALSE,FALSE,FALSE,1,300,300,FALSE,FALSE,TRUE,TRUE,TRUE}</definedName>
    <definedName name="FONPETOTAL"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infancia" hidden="1">{TRUE,TRUE,-2.75,-17.75,483,276.75,FALSE,TRUE,TRUE,TRUE,0,2,#N/A,1,#N/A,6.24489795918367,20,1,FALSE,FALSE,3,TRUE,1,FALSE,75,"Swvu.OPEF._.97.","ACwvu.OPEF._.97.",#N/A,FALSE,FALSE,1.88,0.787401575,0.39,1.56,1,"","",FALSE,FALSE,FALSE,FALSE,1,#N/A,1,1,"=R4C2:R117C9",FALSE,"Rwvu.OPEF._.97.",#N/A,FALSE,FALSE,FALSE,5,300,300,FALSE,FALSE,TRUE,TRUE,TRUE}</definedName>
    <definedName name="IPP_20162">#REF!</definedName>
    <definedName name="jugvuj" hidden="1">'[4]Seguimiento CSF'!#REF!,'[4]Seguimiento CSF'!#REF!</definedName>
    <definedName name="MMM" hidden="1">'[1]GIROS SITUAD.FISCAL- 2000'!#REF!</definedName>
    <definedName name="nata" hidden="1">'[4]Seguimiento CSF'!$11:$12,'[4]Seguimiento CSF'!#REF!,'[4]Seguimiento CSF'!$45:$46,'[4]Seguimiento CSF'!$48:$57,'[4]Seguimiento CSF'!$61:$63,'[4]Seguimiento CSF'!$65:$66,'[4]Seguimiento CSF'!$72:$82,'[4]Seguimiento CSF'!$89:$92,'[4]Seguimiento CSF'!$114:$116,'[4]Seguimiento CSF'!$118:$122,'[4]Seguimiento CSF'!$129:$132,'[4]Seguimiento CSF'!$134:$135</definedName>
    <definedName name="pilar">[5]Hoja1!$A$4:$A$7</definedName>
    <definedName name="q" hidden="1">'[4]Seguimiento CSF'!#REF!,'[4]Seguimiento CSF'!$67:$67,'[4]Seguimiento CSF'!#REF!,'[4]Seguimiento CSF'!#REF!</definedName>
    <definedName name="Rwvu.ComparEneMar9697." hidden="1">'[4]Seguimiento CSF'!$L:$N,'[4]Seguimiento CSF'!$R:$BU</definedName>
    <definedName name="Rwvu.EneFeb." hidden="1">'[4]Seguimiento CSF'!$L:$N,'[4]Seguimiento CSF'!$Q:$AD</definedName>
    <definedName name="Rwvu.Formato._.Corto." hidden="1">'[4]Seguimiento CSF'!$L:$N,'[4]Seguimiento CSF'!$R:$AD,'[4]Seguimiento CSF'!$AH:$AY,'[4]Seguimiento CSF'!$BA:$BH,'[4]Seguimiento CSF'!$BJ:$BQ,'[4]Seguimiento CSF'!$BS:$CF</definedName>
    <definedName name="Rwvu.OPEF._.96." hidden="1">'[4]Resumen OPEF'!$E:$J,'[4]Resumen OPEF'!$M:$Q</definedName>
    <definedName name="Rwvu.OPEF._.97." hidden="1">'[4]Resumen OPEF'!$C:$C,'[4]Resumen OPEF'!#REF!,'[4]Resumen OPEF'!$K:$Q</definedName>
    <definedName name="s" hidden="1">'[1]GIROS SITUAD.FISCAL- 2000'!#REF!</definedName>
    <definedName name="sdfsdf" hidden="1">[3]ANUAL1!#REF!</definedName>
    <definedName name="TOLIMA">[5]Hoja1!$F$4:$F$7</definedName>
    <definedName name="Trabajo" hidden="1">[2]CARBOCOL!#REF!</definedName>
    <definedName name="v"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ivienda" hidden="1">[3]ANUAL1!#REF!</definedName>
    <definedName name="w"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ComparEneMar969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EneFeb." hidden="1">{TRUE,TRUE,-2.75,-17.75,483,276.75,FALSE,TRUE,TRUE,TRUE,0,3,15,1,110,11,8,4,TRUE,TRUE,3,TRUE,1,TRUE,75,"Swvu.EneFeb.","ACwvu.EneFeb.",#N/A,FALSE,FALSE,1.24,0.787401575,0.74,0.984251969,1,"","",FALSE,FALSE,FALSE,FALSE,1,#N/A,1,1,#DIV/0!,FALSE,"Rwvu.EneFeb.","Cwvu.EneFeb.",FALSE,FALSE,FALSE,1,300,300,FALSE,FALSE,TRUE,TRUE,TRUE}</definedName>
    <definedName name="wvu.Formato._.Cort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Total."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OPEF._.9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7." hidden="1">{TRUE,TRUE,-2.75,-17.75,483,276.75,FALSE,TRUE,TRUE,TRUE,0,2,#N/A,1,#N/A,6.24489795918367,20,1,FALSE,FALSE,3,TRUE,1,FALSE,75,"Swvu.OPEF._.97.","ACwvu.OPEF._.97.",#N/A,FALSE,FALSE,1.88,0.787401575,0.39,1.56,1,"","",FALSE,FALSE,FALSE,FALSE,1,#N/A,1,1,"=R4C2:R117C9",FALSE,"Rwvu.OPEF._.97.",#N/A,FALSE,FALSE,FALSE,5,300,300,FALSE,FALSE,TRUE,TRUE,TRUE}</definedName>
    <definedName name="x"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xfhfghjmhjk" hidden="1">'[1]GIROS SITUAD.FISCAL- 2000'!#REF!</definedName>
    <definedName name="xx"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Z_91E95AE5_DCC2_11D0_8DF1_00805F2A002D_.wvu.Cols" hidden="1">'[4]Seguimiento CSF'!$L:$N,'[4]Seguimiento CSF'!$R:$BU</definedName>
    <definedName name="Z_91E95AE6_DCC2_11D0_8DF1_00805F2A002D_.wvu.Cols" hidden="1">'[4]Seguimiento CSF'!$L:$N,'[4]Seguimiento CSF'!$Q:$AD</definedName>
    <definedName name="Z_91E95AE6_DCC2_11D0_8DF1_00805F2A002D_.wvu.Rows" hidden="1">'[4]Seguimiento CSF'!#REF!,'[4]Seguimiento CSF'!#REF!</definedName>
    <definedName name="Z_91E95AE7_DCC2_11D0_8DF1_00805F2A002D_.wvu.Cols" hidden="1">'[4]Resumen MES OPEF'!$C:$C,'[4]Resumen MES OPEF'!$N:$N,'[4]Resumen MES OPEF'!$Y:$Y,'[4]Resumen MES OPEF'!$AL:$AL,'[4]Resumen MES OPEF'!$AV:$AV,'[4]Resumen MES OPEF'!$BG:$BG,'[4]Resumen MES OPEF'!$BR:$BR,'[4]Resumen MES OPEF'!$CC:$CC</definedName>
    <definedName name="Z_91E95AE8_DCC2_11D0_8DF1_00805F2A002D_.wvu.Cols" hidden="1">'[4]Seguimiento CSF'!$L:$N,'[4]Seguimiento CSF'!$R:$AD,'[4]Seguimiento CSF'!$AY:$AY,'[4]Seguimiento CSF'!$BH:$BH,'[4]Seguimiento CSF'!$BQ:$BQ</definedName>
    <definedName name="Z_91E95AE9_DCC2_11D0_8DF1_00805F2A002D_.wvu.Cols" hidden="1">'[4]Seguimiento CSF'!$L:$N,'[4]Seguimiento CSF'!$R:$AD,'[4]Seguimiento CSF'!$AH:$AY,'[4]Seguimiento CSF'!$BA:$BH,'[4]Seguimiento CSF'!$BJ:$BQ,'[4]Seguimiento CSF'!$BS:$CF</definedName>
    <definedName name="Z_91E95AEB_DCC2_11D0_8DF1_00805F2A002D_.wvu.Cols" hidden="1">'[4]Resumen OPEF'!$E:$J,'[4]Resumen OPEF'!$M:$Q</definedName>
    <definedName name="Z_91E95AEC_DCC2_11D0_8DF1_00805F2A002D_.wvu.Cols" hidden="1">'[4]Resumen OPEF'!$C:$C,'[4]Resumen OPEF'!$E:$E,'[4]Resumen OPEF'!$H:$I,'[4]Resumen OPEF'!$K:$L,'[4]Resumen OPEF'!$O:$O</definedName>
  </definedNames>
  <calcPr calcId="15251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Z93" i="5" l="1"/>
  <c r="EA93" i="5"/>
  <c r="AT10" i="3"/>
  <c r="M18" i="3"/>
  <c r="AT15" i="3"/>
  <c r="AT49" i="3"/>
  <c r="AE10" i="3"/>
  <c r="AT11" i="3"/>
  <c r="AT12" i="3"/>
  <c r="AT13" i="3"/>
  <c r="AT14" i="3"/>
  <c r="AT16" i="3"/>
  <c r="AT17" i="3"/>
  <c r="AT18" i="3"/>
  <c r="AT19" i="3"/>
  <c r="AT20" i="3"/>
  <c r="AT21" i="3"/>
  <c r="AT22" i="3"/>
  <c r="AT23" i="3"/>
  <c r="AT24" i="3"/>
  <c r="AT25" i="3"/>
  <c r="AT26" i="3"/>
  <c r="AS27" i="3"/>
  <c r="AT27" i="3"/>
  <c r="AT28" i="3"/>
  <c r="AT29" i="3"/>
  <c r="AT30" i="3"/>
  <c r="AT31" i="3"/>
  <c r="AS32" i="3"/>
  <c r="AT32" i="3"/>
  <c r="AS33" i="3"/>
  <c r="AT33" i="3"/>
  <c r="AS34" i="3"/>
  <c r="AT34" i="3"/>
  <c r="AT35" i="3"/>
  <c r="AT36" i="3"/>
  <c r="AS37" i="3"/>
  <c r="AT37" i="3"/>
  <c r="AT38" i="3"/>
  <c r="AT39" i="3"/>
  <c r="AT40" i="3"/>
  <c r="AT41" i="3"/>
  <c r="AT42" i="3"/>
  <c r="AT43" i="3"/>
  <c r="AT44" i="3"/>
  <c r="AT45" i="3"/>
  <c r="AT46" i="3"/>
  <c r="AT47" i="3"/>
  <c r="AT48" i="3"/>
  <c r="AT50" i="3"/>
  <c r="AT51" i="3"/>
  <c r="AT52" i="3"/>
  <c r="AT53" i="3"/>
  <c r="AT54" i="3"/>
  <c r="AT55" i="3"/>
  <c r="AT56" i="3"/>
  <c r="AT57" i="3"/>
  <c r="AT58" i="3"/>
  <c r="AT59" i="3"/>
  <c r="AT60" i="3"/>
  <c r="AT61" i="3"/>
  <c r="AT62" i="3"/>
  <c r="AT63" i="3"/>
  <c r="AT64" i="3"/>
  <c r="AT65" i="3"/>
  <c r="AT66" i="3"/>
  <c r="AT67" i="3"/>
  <c r="AT68" i="3"/>
  <c r="AT69" i="3"/>
  <c r="AT70" i="3"/>
  <c r="AT71" i="3"/>
  <c r="AT72" i="3"/>
  <c r="AT73" i="3"/>
  <c r="AT74" i="3"/>
  <c r="AT75" i="3"/>
  <c r="AT76" i="3"/>
  <c r="AT77" i="3"/>
  <c r="AT78" i="3"/>
  <c r="AT79" i="3"/>
  <c r="AT80" i="3"/>
  <c r="AT81" i="3"/>
  <c r="AT82" i="3"/>
  <c r="AT83" i="3"/>
  <c r="AT84" i="3"/>
  <c r="AT85" i="3"/>
  <c r="AT86" i="3"/>
  <c r="AT87" i="3"/>
  <c r="AT88" i="3"/>
  <c r="AT89" i="3"/>
  <c r="AT90" i="3"/>
  <c r="AT91" i="3"/>
  <c r="AT92" i="3"/>
  <c r="AT93" i="3"/>
  <c r="AT94" i="3"/>
  <c r="AT95" i="3"/>
  <c r="AT96" i="3"/>
  <c r="AT97" i="3"/>
  <c r="AT98" i="3"/>
  <c r="AT99" i="3"/>
  <c r="AT100" i="3"/>
  <c r="AT101" i="3"/>
  <c r="AT102" i="3"/>
  <c r="AT103" i="3"/>
  <c r="AT104" i="3"/>
  <c r="AT105" i="3"/>
  <c r="AT106" i="3"/>
  <c r="AT107" i="3"/>
  <c r="AT108" i="3"/>
  <c r="AT109" i="3"/>
  <c r="AT111" i="3"/>
  <c r="AE109" i="3"/>
  <c r="AF109" i="3"/>
  <c r="AG109" i="3"/>
  <c r="AH109" i="3"/>
  <c r="AI109" i="3"/>
  <c r="AJ109" i="3"/>
  <c r="AK109" i="3"/>
  <c r="AL109" i="3"/>
  <c r="AM109" i="3"/>
  <c r="AN109" i="3"/>
  <c r="AO109" i="3"/>
  <c r="AP109" i="3"/>
  <c r="AQ109" i="3"/>
  <c r="AR109" i="3"/>
  <c r="AS109" i="3"/>
  <c r="AD109" i="3"/>
  <c r="EA91" i="5"/>
  <c r="P18" i="3"/>
  <c r="P15" i="3"/>
  <c r="P30" i="3"/>
  <c r="DZ80" i="5"/>
  <c r="EA80" i="5"/>
  <c r="DZ79" i="5"/>
  <c r="EA79" i="5"/>
  <c r="DZ77" i="5"/>
  <c r="EA77" i="5"/>
  <c r="P28" i="3"/>
  <c r="P14" i="3"/>
  <c r="L42" i="6"/>
  <c r="CN2" i="5"/>
  <c r="DR2" i="5"/>
  <c r="CN3" i="5"/>
  <c r="DR3" i="5"/>
  <c r="CN4" i="5"/>
  <c r="DR4" i="5"/>
  <c r="CN5" i="5"/>
  <c r="DR5" i="5"/>
  <c r="CN6" i="5"/>
  <c r="DR6" i="5"/>
  <c r="CN7" i="5"/>
  <c r="DR7" i="5"/>
  <c r="CN8" i="5"/>
  <c r="DR8" i="5"/>
  <c r="CN9" i="5"/>
  <c r="DR9" i="5"/>
  <c r="CN10" i="5"/>
  <c r="DR10" i="5"/>
  <c r="CN11" i="5"/>
  <c r="DR11" i="5"/>
  <c r="CN12" i="5"/>
  <c r="DR12" i="5"/>
  <c r="CN13" i="5"/>
  <c r="DR13" i="5"/>
  <c r="CN14" i="5"/>
  <c r="DR14" i="5"/>
  <c r="CN15" i="5"/>
  <c r="DR15" i="5"/>
  <c r="CN16" i="5"/>
  <c r="DR16" i="5"/>
  <c r="CN17" i="5"/>
  <c r="DR17" i="5"/>
  <c r="CN18" i="5"/>
  <c r="DR18" i="5"/>
  <c r="CN19" i="5"/>
  <c r="DR19" i="5"/>
  <c r="CN20" i="5"/>
  <c r="DR20" i="5"/>
  <c r="CN21" i="5"/>
  <c r="DR21" i="5"/>
  <c r="CN22" i="5"/>
  <c r="DR22" i="5"/>
  <c r="CN23" i="5"/>
  <c r="DR23" i="5"/>
  <c r="CN24" i="5"/>
  <c r="DR24" i="5"/>
  <c r="CN25" i="5"/>
  <c r="DR25" i="5"/>
  <c r="CN26" i="5"/>
  <c r="DR26" i="5"/>
  <c r="CN27" i="5"/>
  <c r="DR27" i="5"/>
  <c r="CN28" i="5"/>
  <c r="DR28" i="5"/>
  <c r="CN29" i="5"/>
  <c r="DR29" i="5"/>
  <c r="CN30" i="5"/>
  <c r="DR30" i="5"/>
  <c r="CN31" i="5"/>
  <c r="DR31" i="5"/>
  <c r="CN32" i="5"/>
  <c r="DR32" i="5"/>
  <c r="CN33" i="5"/>
  <c r="DR33" i="5"/>
  <c r="CN34" i="5"/>
  <c r="DR34" i="5"/>
  <c r="CN35" i="5"/>
  <c r="DR35" i="5"/>
  <c r="CN36" i="5"/>
  <c r="DR36" i="5"/>
  <c r="CN37" i="5"/>
  <c r="DR37" i="5"/>
  <c r="CN38" i="5"/>
  <c r="DR38" i="5"/>
  <c r="CN39" i="5"/>
  <c r="DR39" i="5"/>
  <c r="CN40" i="5"/>
  <c r="DR40" i="5"/>
  <c r="CN41" i="5"/>
  <c r="DR41" i="5"/>
  <c r="CN42" i="5"/>
  <c r="DR42" i="5"/>
  <c r="CN43" i="5"/>
  <c r="DR43" i="5"/>
  <c r="CN44" i="5"/>
  <c r="DR44" i="5"/>
  <c r="CN45" i="5"/>
  <c r="DR45" i="5"/>
  <c r="CN46" i="5"/>
  <c r="DR46" i="5"/>
  <c r="CN47" i="5"/>
  <c r="DR47" i="5"/>
  <c r="CN48" i="5"/>
  <c r="DR48" i="5"/>
  <c r="CN49" i="5"/>
  <c r="DR49" i="5"/>
  <c r="CN50" i="5"/>
  <c r="DR50" i="5"/>
  <c r="CN51" i="5"/>
  <c r="DR51" i="5"/>
  <c r="CN52" i="5"/>
  <c r="DR52" i="5"/>
  <c r="CN53" i="5"/>
  <c r="DR53" i="5"/>
  <c r="CN54" i="5"/>
  <c r="DR54" i="5"/>
  <c r="CN55" i="5"/>
  <c r="DR55" i="5"/>
  <c r="CN56" i="5"/>
  <c r="DR56" i="5"/>
  <c r="CN57" i="5"/>
  <c r="DR57" i="5"/>
  <c r="CN58" i="5"/>
  <c r="DR58" i="5"/>
  <c r="CN59" i="5"/>
  <c r="DR59" i="5"/>
  <c r="CN60" i="5"/>
  <c r="DR60" i="5"/>
  <c r="CN61" i="5"/>
  <c r="DR61" i="5"/>
  <c r="CN62" i="5"/>
  <c r="DR62" i="5"/>
  <c r="CN63" i="5"/>
  <c r="DR63" i="5"/>
  <c r="CN64" i="5"/>
  <c r="DR64" i="5"/>
  <c r="CN65" i="5"/>
  <c r="DR65" i="5"/>
  <c r="CN66" i="5"/>
  <c r="DR66" i="5"/>
  <c r="CN67" i="5"/>
  <c r="DR67" i="5"/>
  <c r="CN68" i="5"/>
  <c r="DR68" i="5"/>
  <c r="CN69" i="5"/>
  <c r="DR69" i="5"/>
  <c r="CN70" i="5"/>
  <c r="DR70" i="5"/>
  <c r="CN71" i="5"/>
  <c r="DR71" i="5"/>
  <c r="CN72" i="5"/>
  <c r="DR72" i="5"/>
  <c r="CN73" i="5"/>
  <c r="DR73" i="5"/>
  <c r="CN74" i="5"/>
  <c r="DR74" i="5"/>
  <c r="CN75" i="5"/>
  <c r="DR75" i="5"/>
  <c r="CN76" i="5"/>
  <c r="DR76" i="5"/>
  <c r="CN77" i="5"/>
  <c r="DR77" i="5"/>
  <c r="CN78" i="5"/>
  <c r="DR78" i="5"/>
  <c r="CN79" i="5"/>
  <c r="DR79" i="5"/>
  <c r="CN80" i="5"/>
  <c r="DR80" i="5"/>
  <c r="CN81" i="5"/>
  <c r="DR81" i="5"/>
  <c r="CN82" i="5"/>
  <c r="DR82" i="5"/>
  <c r="CN83" i="5"/>
  <c r="DR83" i="5"/>
  <c r="CN84" i="5"/>
  <c r="DR84" i="5"/>
  <c r="CN85" i="5"/>
  <c r="DR85" i="5"/>
  <c r="CN86" i="5"/>
  <c r="DR86" i="5"/>
  <c r="CN87" i="5"/>
  <c r="DR87" i="5"/>
  <c r="CN88" i="5"/>
  <c r="DR88" i="5"/>
  <c r="CN89" i="5"/>
  <c r="DR89" i="5"/>
  <c r="CN90" i="5"/>
  <c r="DR90" i="5"/>
  <c r="CN91" i="5"/>
  <c r="DR91" i="5"/>
  <c r="CN92" i="5"/>
  <c r="DR92" i="5"/>
  <c r="CN93" i="5"/>
  <c r="DR93" i="5"/>
  <c r="CN94" i="5"/>
  <c r="DR94" i="5"/>
  <c r="CN95" i="5"/>
  <c r="DR95" i="5"/>
  <c r="CN96" i="5"/>
  <c r="DR96" i="5"/>
  <c r="CN97" i="5"/>
  <c r="DR97" i="5"/>
  <c r="CN98" i="5"/>
  <c r="DR98" i="5"/>
  <c r="CN99" i="5"/>
  <c r="DR99" i="5"/>
  <c r="CN100" i="5"/>
  <c r="DR100" i="5"/>
  <c r="CN101" i="5"/>
  <c r="DR101" i="5"/>
  <c r="CN102" i="5"/>
  <c r="DR102" i="5"/>
  <c r="CN103" i="5"/>
  <c r="DR103" i="5"/>
  <c r="CN104" i="5"/>
  <c r="DR104" i="5"/>
  <c r="DR105" i="5"/>
  <c r="CT2" i="5"/>
  <c r="DS2" i="5"/>
  <c r="CT3" i="5"/>
  <c r="DS3" i="5"/>
  <c r="CT4" i="5"/>
  <c r="DS4" i="5"/>
  <c r="CT5" i="5"/>
  <c r="DS5" i="5"/>
  <c r="CT6" i="5"/>
  <c r="DS6" i="5"/>
  <c r="CT7" i="5"/>
  <c r="DS7" i="5"/>
  <c r="CT8" i="5"/>
  <c r="DS8" i="5"/>
  <c r="CT9" i="5"/>
  <c r="DS9" i="5"/>
  <c r="CT10" i="5"/>
  <c r="DS10" i="5"/>
  <c r="CT11" i="5"/>
  <c r="DS11" i="5"/>
  <c r="CT12" i="5"/>
  <c r="DS12" i="5"/>
  <c r="CT13" i="5"/>
  <c r="DS13" i="5"/>
  <c r="CT14" i="5"/>
  <c r="DS14" i="5"/>
  <c r="CT15" i="5"/>
  <c r="DS15" i="5"/>
  <c r="CT16" i="5"/>
  <c r="DS16" i="5"/>
  <c r="CT17" i="5"/>
  <c r="DS17" i="5"/>
  <c r="CT18" i="5"/>
  <c r="DS18" i="5"/>
  <c r="CT19" i="5"/>
  <c r="DS19" i="5"/>
  <c r="CT20" i="5"/>
  <c r="DS20" i="5"/>
  <c r="CT21" i="5"/>
  <c r="DS21" i="5"/>
  <c r="CT22" i="5"/>
  <c r="DS22" i="5"/>
  <c r="CT23" i="5"/>
  <c r="DS23" i="5"/>
  <c r="CT24" i="5"/>
  <c r="DS24" i="5"/>
  <c r="CT25" i="5"/>
  <c r="DS25" i="5"/>
  <c r="CT26" i="5"/>
  <c r="DS26" i="5"/>
  <c r="CT27" i="5"/>
  <c r="DS27" i="5"/>
  <c r="CT28" i="5"/>
  <c r="DS28" i="5"/>
  <c r="CT29" i="5"/>
  <c r="DS29" i="5"/>
  <c r="CT30" i="5"/>
  <c r="DS30" i="5"/>
  <c r="CT31" i="5"/>
  <c r="DS31" i="5"/>
  <c r="CT32" i="5"/>
  <c r="DS32" i="5"/>
  <c r="CT33" i="5"/>
  <c r="DS33" i="5"/>
  <c r="CT34" i="5"/>
  <c r="DS34" i="5"/>
  <c r="CT35" i="5"/>
  <c r="DS35" i="5"/>
  <c r="CT36" i="5"/>
  <c r="DS36" i="5"/>
  <c r="CT37" i="5"/>
  <c r="DS37" i="5"/>
  <c r="CT38" i="5"/>
  <c r="DS38" i="5"/>
  <c r="CT39" i="5"/>
  <c r="DS39" i="5"/>
  <c r="CT40" i="5"/>
  <c r="DS40" i="5"/>
  <c r="CT41" i="5"/>
  <c r="DS41" i="5"/>
  <c r="CT42" i="5"/>
  <c r="DS42" i="5"/>
  <c r="CT43" i="5"/>
  <c r="DS43" i="5"/>
  <c r="CT44" i="5"/>
  <c r="DS44" i="5"/>
  <c r="CT45" i="5"/>
  <c r="DS45" i="5"/>
  <c r="CT46" i="5"/>
  <c r="DS46" i="5"/>
  <c r="CT47" i="5"/>
  <c r="DS47" i="5"/>
  <c r="CT48" i="5"/>
  <c r="DS48" i="5"/>
  <c r="CT49" i="5"/>
  <c r="DS49" i="5"/>
  <c r="CT50" i="5"/>
  <c r="DS50" i="5"/>
  <c r="CT51" i="5"/>
  <c r="DS51" i="5"/>
  <c r="CT52" i="5"/>
  <c r="DS52" i="5"/>
  <c r="CT53" i="5"/>
  <c r="DS53" i="5"/>
  <c r="CT54" i="5"/>
  <c r="DS54" i="5"/>
  <c r="CT55" i="5"/>
  <c r="DS55" i="5"/>
  <c r="CT56" i="5"/>
  <c r="DS56" i="5"/>
  <c r="CT57" i="5"/>
  <c r="DS57" i="5"/>
  <c r="CT58" i="5"/>
  <c r="DS58" i="5"/>
  <c r="CT59" i="5"/>
  <c r="DS59" i="5"/>
  <c r="CT60" i="5"/>
  <c r="DS60" i="5"/>
  <c r="CT61" i="5"/>
  <c r="DS61" i="5"/>
  <c r="CT62" i="5"/>
  <c r="DS62" i="5"/>
  <c r="CT63" i="5"/>
  <c r="DS63" i="5"/>
  <c r="CT64" i="5"/>
  <c r="DS64" i="5"/>
  <c r="CT65" i="5"/>
  <c r="DS65" i="5"/>
  <c r="CT66" i="5"/>
  <c r="DS66" i="5"/>
  <c r="CT67" i="5"/>
  <c r="DS67" i="5"/>
  <c r="CT68" i="5"/>
  <c r="DS68" i="5"/>
  <c r="CT69" i="5"/>
  <c r="DS69" i="5"/>
  <c r="CT70" i="5"/>
  <c r="DS70" i="5"/>
  <c r="CT71" i="5"/>
  <c r="DS71" i="5"/>
  <c r="CT72" i="5"/>
  <c r="DS72" i="5"/>
  <c r="CT73" i="5"/>
  <c r="DS73" i="5"/>
  <c r="CT74" i="5"/>
  <c r="DS74" i="5"/>
  <c r="CT75" i="5"/>
  <c r="DS75" i="5"/>
  <c r="CT76" i="5"/>
  <c r="DS76" i="5"/>
  <c r="CT77" i="5"/>
  <c r="DS77" i="5"/>
  <c r="CT78" i="5"/>
  <c r="DS78" i="5"/>
  <c r="CT79" i="5"/>
  <c r="DS79" i="5"/>
  <c r="CT80" i="5"/>
  <c r="DS80" i="5"/>
  <c r="CT81" i="5"/>
  <c r="DS81" i="5"/>
  <c r="CT82" i="5"/>
  <c r="DS82" i="5"/>
  <c r="CT83" i="5"/>
  <c r="DS83" i="5"/>
  <c r="CT84" i="5"/>
  <c r="DS84" i="5"/>
  <c r="CT85" i="5"/>
  <c r="DS85" i="5"/>
  <c r="CT86" i="5"/>
  <c r="DS86" i="5"/>
  <c r="CT87" i="5"/>
  <c r="DS87" i="5"/>
  <c r="CT88" i="5"/>
  <c r="DS88" i="5"/>
  <c r="CT89" i="5"/>
  <c r="DS89" i="5"/>
  <c r="CT90" i="5"/>
  <c r="DS90" i="5"/>
  <c r="CT91" i="5"/>
  <c r="DS91" i="5"/>
  <c r="CT92" i="5"/>
  <c r="DS92" i="5"/>
  <c r="CT93" i="5"/>
  <c r="DS93" i="5"/>
  <c r="CT94" i="5"/>
  <c r="DS94" i="5"/>
  <c r="CT95" i="5"/>
  <c r="DS95" i="5"/>
  <c r="CT96" i="5"/>
  <c r="DS96" i="5"/>
  <c r="CT97" i="5"/>
  <c r="DS97" i="5"/>
  <c r="CT98" i="5"/>
  <c r="DS98" i="5"/>
  <c r="CT99" i="5"/>
  <c r="DS99" i="5"/>
  <c r="CT100" i="5"/>
  <c r="DS100" i="5"/>
  <c r="CT101" i="5"/>
  <c r="DS101" i="5"/>
  <c r="CT102" i="5"/>
  <c r="DS102" i="5"/>
  <c r="CT103" i="5"/>
  <c r="DS103" i="5"/>
  <c r="CT104" i="5"/>
  <c r="DS104" i="5"/>
  <c r="DS105" i="5"/>
  <c r="DS106" i="5"/>
  <c r="DS108" i="5"/>
  <c r="DM2" i="5"/>
  <c r="DM3" i="5"/>
  <c r="DM4" i="5"/>
  <c r="DM5" i="5"/>
  <c r="DM6" i="5"/>
  <c r="DM7" i="5"/>
  <c r="DM8" i="5"/>
  <c r="DM9" i="5"/>
  <c r="DM10" i="5"/>
  <c r="DM11" i="5"/>
  <c r="DM12" i="5"/>
  <c r="DM13" i="5"/>
  <c r="DM14" i="5"/>
  <c r="DM15" i="5"/>
  <c r="DM16" i="5"/>
  <c r="DM17" i="5"/>
  <c r="DM18" i="5"/>
  <c r="DM19" i="5"/>
  <c r="DM20" i="5"/>
  <c r="DM21" i="5"/>
  <c r="DM22" i="5"/>
  <c r="DM23" i="5"/>
  <c r="DM24" i="5"/>
  <c r="DM25" i="5"/>
  <c r="DM26" i="5"/>
  <c r="DM27" i="5"/>
  <c r="DM28" i="5"/>
  <c r="DM29" i="5"/>
  <c r="DM30" i="5"/>
  <c r="DM31" i="5"/>
  <c r="DM32" i="5"/>
  <c r="DM33" i="5"/>
  <c r="DM34" i="5"/>
  <c r="DM35" i="5"/>
  <c r="DM36" i="5"/>
  <c r="DM37" i="5"/>
  <c r="DM38" i="5"/>
  <c r="DM39" i="5"/>
  <c r="DM40" i="5"/>
  <c r="DM41" i="5"/>
  <c r="DM42" i="5"/>
  <c r="DM43" i="5"/>
  <c r="DM44" i="5"/>
  <c r="DM45" i="5"/>
  <c r="DM46" i="5"/>
  <c r="DM47" i="5"/>
  <c r="DM48" i="5"/>
  <c r="DM49" i="5"/>
  <c r="DM50" i="5"/>
  <c r="DM51" i="5"/>
  <c r="DM52" i="5"/>
  <c r="DM53" i="5"/>
  <c r="DM54" i="5"/>
  <c r="DM55" i="5"/>
  <c r="DM56" i="5"/>
  <c r="DM57" i="5"/>
  <c r="DM58" i="5"/>
  <c r="DM59" i="5"/>
  <c r="DM60" i="5"/>
  <c r="DM61" i="5"/>
  <c r="DM62" i="5"/>
  <c r="DM63" i="5"/>
  <c r="DM64" i="5"/>
  <c r="DM65" i="5"/>
  <c r="DM66" i="5"/>
  <c r="DM67" i="5"/>
  <c r="DM68" i="5"/>
  <c r="DM69" i="5"/>
  <c r="DM70" i="5"/>
  <c r="DM71" i="5"/>
  <c r="DM72" i="5"/>
  <c r="DM73" i="5"/>
  <c r="DM74" i="5"/>
  <c r="DM75" i="5"/>
  <c r="DM76" i="5"/>
  <c r="DM77" i="5"/>
  <c r="DM78" i="5"/>
  <c r="DM79" i="5"/>
  <c r="DM80" i="5"/>
  <c r="DM81" i="5"/>
  <c r="DM82" i="5"/>
  <c r="DM83" i="5"/>
  <c r="DM84" i="5"/>
  <c r="DM85" i="5"/>
  <c r="DM86" i="5"/>
  <c r="DM87" i="5"/>
  <c r="DM88" i="5"/>
  <c r="DM89" i="5"/>
  <c r="DM90" i="5"/>
  <c r="DM91" i="5"/>
  <c r="DM92" i="5"/>
  <c r="DM93" i="5"/>
  <c r="DM94" i="5"/>
  <c r="DM95" i="5"/>
  <c r="DM96" i="5"/>
  <c r="DM97" i="5"/>
  <c r="DM98" i="5"/>
  <c r="DM99" i="5"/>
  <c r="DM100" i="5"/>
  <c r="DM101" i="5"/>
  <c r="DM102" i="5"/>
  <c r="DM103" i="5"/>
  <c r="DM104" i="5"/>
  <c r="DM105" i="5"/>
  <c r="CS2" i="5"/>
  <c r="DN2" i="5"/>
  <c r="CS3" i="5"/>
  <c r="DN3" i="5"/>
  <c r="CS4" i="5"/>
  <c r="DN4" i="5"/>
  <c r="CS5" i="5"/>
  <c r="DN5" i="5"/>
  <c r="DN6" i="5"/>
  <c r="DN7" i="5"/>
  <c r="DN8" i="5"/>
  <c r="DN9" i="5"/>
  <c r="DN10" i="5"/>
  <c r="DN11" i="5"/>
  <c r="DN12" i="5"/>
  <c r="DN13" i="5"/>
  <c r="DN14" i="5"/>
  <c r="DN15" i="5"/>
  <c r="DN16" i="5"/>
  <c r="DN17" i="5"/>
  <c r="DN18" i="5"/>
  <c r="DN19" i="5"/>
  <c r="DN20" i="5"/>
  <c r="DN21" i="5"/>
  <c r="DN22" i="5"/>
  <c r="DN23" i="5"/>
  <c r="DN24" i="5"/>
  <c r="DN25" i="5"/>
  <c r="DN26" i="5"/>
  <c r="DN27" i="5"/>
  <c r="DN28" i="5"/>
  <c r="DN29" i="5"/>
  <c r="DN30" i="5"/>
  <c r="DN31" i="5"/>
  <c r="DN32" i="5"/>
  <c r="DN33" i="5"/>
  <c r="DN34" i="5"/>
  <c r="DN35" i="5"/>
  <c r="DN36" i="5"/>
  <c r="DN37" i="5"/>
  <c r="DN38" i="5"/>
  <c r="DN39" i="5"/>
  <c r="DN40" i="5"/>
  <c r="DN41" i="5"/>
  <c r="DN42" i="5"/>
  <c r="DN43" i="5"/>
  <c r="DN44" i="5"/>
  <c r="DN45" i="5"/>
  <c r="DN46" i="5"/>
  <c r="DN47" i="5"/>
  <c r="DN48" i="5"/>
  <c r="DN49" i="5"/>
  <c r="DN50" i="5"/>
  <c r="DN51" i="5"/>
  <c r="DN52" i="5"/>
  <c r="DN53" i="5"/>
  <c r="DN54" i="5"/>
  <c r="DN55" i="5"/>
  <c r="DN56" i="5"/>
  <c r="DN57" i="5"/>
  <c r="DN58" i="5"/>
  <c r="DN59" i="5"/>
  <c r="DN60" i="5"/>
  <c r="DN61" i="5"/>
  <c r="DN62" i="5"/>
  <c r="DN63" i="5"/>
  <c r="DN64" i="5"/>
  <c r="DN65" i="5"/>
  <c r="DN66" i="5"/>
  <c r="DN67" i="5"/>
  <c r="DN68" i="5"/>
  <c r="DN69" i="5"/>
  <c r="DN70" i="5"/>
  <c r="DN71" i="5"/>
  <c r="DN72" i="5"/>
  <c r="DN73" i="5"/>
  <c r="DN74" i="5"/>
  <c r="DN75" i="5"/>
  <c r="CS76" i="5"/>
  <c r="DN76" i="5"/>
  <c r="DN77" i="5"/>
  <c r="DN78" i="5"/>
  <c r="DN79" i="5"/>
  <c r="DN80" i="5"/>
  <c r="DN81" i="5"/>
  <c r="DN82" i="5"/>
  <c r="DN83" i="5"/>
  <c r="DN84" i="5"/>
  <c r="DN85" i="5"/>
  <c r="DN86" i="5"/>
  <c r="DN87" i="5"/>
  <c r="DN88" i="5"/>
  <c r="DN89" i="5"/>
  <c r="DN90" i="5"/>
  <c r="DN91" i="5"/>
  <c r="DN92" i="5"/>
  <c r="DN93" i="5"/>
  <c r="DN94" i="5"/>
  <c r="DN95" i="5"/>
  <c r="CS96" i="5"/>
  <c r="DN96" i="5"/>
  <c r="DN97" i="5"/>
  <c r="DN98" i="5"/>
  <c r="DN99" i="5"/>
  <c r="DN100" i="5"/>
  <c r="DN101" i="5"/>
  <c r="DN102" i="5"/>
  <c r="DN103" i="5"/>
  <c r="DN104" i="5"/>
  <c r="DN105" i="5"/>
  <c r="DN106" i="5"/>
  <c r="DN108" i="5"/>
  <c r="DZ6" i="5"/>
  <c r="EA6" i="5"/>
  <c r="DZ7" i="5"/>
  <c r="EA7" i="5"/>
  <c r="DZ9" i="5"/>
  <c r="DZ10" i="5"/>
  <c r="EA10" i="5"/>
  <c r="DZ11" i="5"/>
  <c r="EA11" i="5"/>
  <c r="DZ14" i="5"/>
  <c r="EA14" i="5"/>
  <c r="DZ15" i="5"/>
  <c r="EA15" i="5"/>
  <c r="DZ16" i="5"/>
  <c r="EA16" i="5"/>
  <c r="DZ17" i="5"/>
  <c r="EA17" i="5"/>
  <c r="DZ18" i="5"/>
  <c r="EA18" i="5"/>
  <c r="DZ19" i="5"/>
  <c r="EA19" i="5"/>
  <c r="DZ20" i="5"/>
  <c r="EA20" i="5"/>
  <c r="DZ21" i="5"/>
  <c r="EA21" i="5"/>
  <c r="DZ22" i="5"/>
  <c r="EA22" i="5"/>
  <c r="DZ23" i="5"/>
  <c r="EA23" i="5"/>
  <c r="DZ24" i="5"/>
  <c r="EA24" i="5"/>
  <c r="DZ25" i="5"/>
  <c r="EA25" i="5"/>
  <c r="DZ26" i="5"/>
  <c r="EA26" i="5"/>
  <c r="DZ27" i="5"/>
  <c r="EA27" i="5"/>
  <c r="DZ28" i="5"/>
  <c r="EA28" i="5"/>
  <c r="DZ29" i="5"/>
  <c r="EA29" i="5"/>
  <c r="DZ30" i="5"/>
  <c r="EA30" i="5"/>
  <c r="DZ31" i="5"/>
  <c r="EA31" i="5"/>
  <c r="DZ32" i="5"/>
  <c r="EA32" i="5"/>
  <c r="DZ33" i="5"/>
  <c r="EA33" i="5"/>
  <c r="DZ34" i="5"/>
  <c r="EA34" i="5"/>
  <c r="DZ35" i="5"/>
  <c r="EA35" i="5"/>
  <c r="DZ36" i="5"/>
  <c r="EA36" i="5"/>
  <c r="DZ37" i="5"/>
  <c r="EA37" i="5"/>
  <c r="DZ38" i="5"/>
  <c r="EA38" i="5"/>
  <c r="DZ39" i="5"/>
  <c r="EA39" i="5"/>
  <c r="DZ40" i="5"/>
  <c r="EA40" i="5"/>
  <c r="DZ41" i="5"/>
  <c r="EA41" i="5"/>
  <c r="DZ42" i="5"/>
  <c r="EA42" i="5"/>
  <c r="DZ43" i="5"/>
  <c r="EA43" i="5"/>
  <c r="DZ44" i="5"/>
  <c r="EA44" i="5"/>
  <c r="DZ45" i="5"/>
  <c r="EA45" i="5"/>
  <c r="DZ46" i="5"/>
  <c r="EA46" i="5"/>
  <c r="DZ47" i="5"/>
  <c r="EA47" i="5"/>
  <c r="DZ48" i="5"/>
  <c r="EA48" i="5"/>
  <c r="DZ50" i="5"/>
  <c r="EA50" i="5"/>
  <c r="DZ51" i="5"/>
  <c r="EA51" i="5"/>
  <c r="DZ52" i="5"/>
  <c r="EA52" i="5"/>
  <c r="DZ53" i="5"/>
  <c r="EA53" i="5"/>
  <c r="DZ54" i="5"/>
  <c r="EA54" i="5"/>
  <c r="DZ55" i="5"/>
  <c r="EA55" i="5"/>
  <c r="DZ57" i="5"/>
  <c r="EA57" i="5"/>
  <c r="DZ58" i="5"/>
  <c r="EA58" i="5"/>
  <c r="DZ59" i="5"/>
  <c r="EA59" i="5"/>
  <c r="DZ60" i="5"/>
  <c r="EA60" i="5"/>
  <c r="DZ61" i="5"/>
  <c r="EA61" i="5"/>
  <c r="DZ62" i="5"/>
  <c r="EA62" i="5"/>
  <c r="DZ63" i="5"/>
  <c r="EA63" i="5"/>
  <c r="DZ64" i="5"/>
  <c r="EA64" i="5"/>
  <c r="DZ65" i="5"/>
  <c r="EA65" i="5"/>
  <c r="DZ66" i="5"/>
  <c r="EA66" i="5"/>
  <c r="DZ67" i="5"/>
  <c r="EA67" i="5"/>
  <c r="DZ68" i="5"/>
  <c r="EA68" i="5"/>
  <c r="DZ69" i="5"/>
  <c r="EA69" i="5"/>
  <c r="DZ70" i="5"/>
  <c r="EA70" i="5"/>
  <c r="DZ71" i="5"/>
  <c r="EA71" i="5"/>
  <c r="DZ72" i="5"/>
  <c r="EA72" i="5"/>
  <c r="DZ73" i="5"/>
  <c r="EA73" i="5"/>
  <c r="DZ74" i="5"/>
  <c r="EA74" i="5"/>
  <c r="DZ75" i="5"/>
  <c r="EA75" i="5"/>
  <c r="DZ76" i="5"/>
  <c r="EA76" i="5"/>
  <c r="DZ84" i="5"/>
  <c r="EA84" i="5"/>
  <c r="DZ85" i="5"/>
  <c r="EA85" i="5"/>
  <c r="BE86" i="5"/>
  <c r="DZ86" i="5"/>
  <c r="EA86" i="5"/>
  <c r="DZ87" i="5"/>
  <c r="EA87" i="5"/>
  <c r="DZ88" i="5"/>
  <c r="EA88" i="5"/>
  <c r="DZ89" i="5"/>
  <c r="EA89" i="5"/>
  <c r="DZ90" i="5"/>
  <c r="EA90" i="5"/>
  <c r="DZ94" i="5"/>
  <c r="EA94" i="5"/>
  <c r="DZ95" i="5"/>
  <c r="EA95" i="5"/>
  <c r="BE96" i="5"/>
  <c r="DZ96" i="5"/>
  <c r="EA96" i="5"/>
  <c r="DZ97" i="5"/>
  <c r="EA97" i="5"/>
  <c r="DZ98" i="5"/>
  <c r="EA98" i="5"/>
  <c r="DZ99" i="5"/>
  <c r="EA99" i="5"/>
  <c r="DZ100" i="5"/>
  <c r="EA100" i="5"/>
  <c r="DZ101" i="5"/>
  <c r="EA101" i="5"/>
  <c r="EA105" i="5"/>
  <c r="EA107" i="5"/>
  <c r="DZ83" i="5"/>
  <c r="DZ107" i="5"/>
  <c r="CZ2" i="5"/>
  <c r="DF2" i="5"/>
  <c r="DI2" i="5"/>
  <c r="CZ3" i="5"/>
  <c r="DF3" i="5"/>
  <c r="DI3" i="5"/>
  <c r="CZ4" i="5"/>
  <c r="DF4" i="5"/>
  <c r="DI4" i="5"/>
  <c r="CZ5" i="5"/>
  <c r="DF5" i="5"/>
  <c r="DI5" i="5"/>
  <c r="CZ6" i="5"/>
  <c r="DF6" i="5"/>
  <c r="DI6" i="5"/>
  <c r="CZ7" i="5"/>
  <c r="DF7" i="5"/>
  <c r="DI7" i="5"/>
  <c r="CV8" i="5"/>
  <c r="CW8" i="5"/>
  <c r="CX8" i="5"/>
  <c r="CZ8" i="5"/>
  <c r="DB8" i="5"/>
  <c r="DC8" i="5"/>
  <c r="DD8" i="5"/>
  <c r="DF8" i="5"/>
  <c r="DI8" i="5"/>
  <c r="CZ9" i="5"/>
  <c r="DF9" i="5"/>
  <c r="DI9" i="5"/>
  <c r="CZ10" i="5"/>
  <c r="DF10" i="5"/>
  <c r="DI10" i="5"/>
  <c r="CZ11" i="5"/>
  <c r="DF11" i="5"/>
  <c r="DI11" i="5"/>
  <c r="CZ12" i="5"/>
  <c r="DF12" i="5"/>
  <c r="DI12" i="5"/>
  <c r="CZ13" i="5"/>
  <c r="DF13" i="5"/>
  <c r="DI13" i="5"/>
  <c r="CZ14" i="5"/>
  <c r="DF14" i="5"/>
  <c r="DI14" i="5"/>
  <c r="CZ15" i="5"/>
  <c r="DF15" i="5"/>
  <c r="DI15" i="5"/>
  <c r="CZ16" i="5"/>
  <c r="DF16" i="5"/>
  <c r="DI16" i="5"/>
  <c r="CZ17" i="5"/>
  <c r="DF17" i="5"/>
  <c r="DI17" i="5"/>
  <c r="CZ18" i="5"/>
  <c r="DF18" i="5"/>
  <c r="DI18" i="5"/>
  <c r="CZ19" i="5"/>
  <c r="DF19" i="5"/>
  <c r="DI19" i="5"/>
  <c r="CZ20" i="5"/>
  <c r="DF20" i="5"/>
  <c r="DI20" i="5"/>
  <c r="CZ21" i="5"/>
  <c r="DF21" i="5"/>
  <c r="DI21" i="5"/>
  <c r="CZ22" i="5"/>
  <c r="DF22" i="5"/>
  <c r="DI22" i="5"/>
  <c r="CZ23" i="5"/>
  <c r="DF23" i="5"/>
  <c r="DI23" i="5"/>
  <c r="CZ24" i="5"/>
  <c r="DF24" i="5"/>
  <c r="DI24" i="5"/>
  <c r="CZ25" i="5"/>
  <c r="DF25" i="5"/>
  <c r="DI25" i="5"/>
  <c r="CZ26" i="5"/>
  <c r="DF26" i="5"/>
  <c r="DI26" i="5"/>
  <c r="CZ27" i="5"/>
  <c r="DF27" i="5"/>
  <c r="DI27" i="5"/>
  <c r="CZ28" i="5"/>
  <c r="DF28" i="5"/>
  <c r="DI28" i="5"/>
  <c r="CZ29" i="5"/>
  <c r="DF29" i="5"/>
  <c r="DI29" i="5"/>
  <c r="CZ30" i="5"/>
  <c r="DF30" i="5"/>
  <c r="DI30" i="5"/>
  <c r="CZ31" i="5"/>
  <c r="DF31" i="5"/>
  <c r="DI31" i="5"/>
  <c r="CZ32" i="5"/>
  <c r="DF32" i="5"/>
  <c r="DI32" i="5"/>
  <c r="CZ33" i="5"/>
  <c r="DF33" i="5"/>
  <c r="DI33" i="5"/>
  <c r="CZ34" i="5"/>
  <c r="DF34" i="5"/>
  <c r="DI34" i="5"/>
  <c r="CZ35" i="5"/>
  <c r="DF35" i="5"/>
  <c r="DI35" i="5"/>
  <c r="CZ36" i="5"/>
  <c r="DF36" i="5"/>
  <c r="DI36" i="5"/>
  <c r="CZ37" i="5"/>
  <c r="DF37" i="5"/>
  <c r="DI37" i="5"/>
  <c r="CZ38" i="5"/>
  <c r="DF38" i="5"/>
  <c r="DI38" i="5"/>
  <c r="CZ39" i="5"/>
  <c r="DF39" i="5"/>
  <c r="DI39" i="5"/>
  <c r="CZ40" i="5"/>
  <c r="DF40" i="5"/>
  <c r="DI40" i="5"/>
  <c r="CZ41" i="5"/>
  <c r="DF41" i="5"/>
  <c r="DI41" i="5"/>
  <c r="CZ42" i="5"/>
  <c r="DF42" i="5"/>
  <c r="DI42" i="5"/>
  <c r="CZ43" i="5"/>
  <c r="DF43" i="5"/>
  <c r="DI43" i="5"/>
  <c r="CZ44" i="5"/>
  <c r="DF44" i="5"/>
  <c r="DI44" i="5"/>
  <c r="CZ45" i="5"/>
  <c r="DF45" i="5"/>
  <c r="DI45" i="5"/>
  <c r="CZ46" i="5"/>
  <c r="DF46" i="5"/>
  <c r="DI46" i="5"/>
  <c r="CZ47" i="5"/>
  <c r="DF47" i="5"/>
  <c r="DI47" i="5"/>
  <c r="CZ48" i="5"/>
  <c r="DF48" i="5"/>
  <c r="DI48" i="5"/>
  <c r="CZ49" i="5"/>
  <c r="DF49" i="5"/>
  <c r="DI49" i="5"/>
  <c r="CZ50" i="5"/>
  <c r="DF50" i="5"/>
  <c r="DI50" i="5"/>
  <c r="CZ51" i="5"/>
  <c r="DF51" i="5"/>
  <c r="DI51" i="5"/>
  <c r="CZ52" i="5"/>
  <c r="DF52" i="5"/>
  <c r="DI52" i="5"/>
  <c r="CZ53" i="5"/>
  <c r="DF53" i="5"/>
  <c r="DI53" i="5"/>
  <c r="CZ54" i="5"/>
  <c r="DF54" i="5"/>
  <c r="DI54" i="5"/>
  <c r="CZ55" i="5"/>
  <c r="DF55" i="5"/>
  <c r="DI55" i="5"/>
  <c r="CX56" i="5"/>
  <c r="CZ56" i="5"/>
  <c r="DF56" i="5"/>
  <c r="DI56" i="5"/>
  <c r="CZ57" i="5"/>
  <c r="DC57" i="5"/>
  <c r="DF57" i="5"/>
  <c r="DI57" i="5"/>
  <c r="CV58" i="5"/>
  <c r="CZ58" i="5"/>
  <c r="DF58" i="5"/>
  <c r="DI58" i="5"/>
  <c r="CZ59" i="5"/>
  <c r="DF59" i="5"/>
  <c r="DI59" i="5"/>
  <c r="CZ60" i="5"/>
  <c r="DF60" i="5"/>
  <c r="DI60" i="5"/>
  <c r="CZ61" i="5"/>
  <c r="DF61" i="5"/>
  <c r="DI61" i="5"/>
  <c r="CZ62" i="5"/>
  <c r="DF62" i="5"/>
  <c r="DI62" i="5"/>
  <c r="CZ63" i="5"/>
  <c r="DF63" i="5"/>
  <c r="DI63" i="5"/>
  <c r="CZ64" i="5"/>
  <c r="DF64" i="5"/>
  <c r="DI64" i="5"/>
  <c r="CZ65" i="5"/>
  <c r="DF65" i="5"/>
  <c r="DI65" i="5"/>
  <c r="CZ66" i="5"/>
  <c r="DF66" i="5"/>
  <c r="DI66" i="5"/>
  <c r="CZ67" i="5"/>
  <c r="DF67" i="5"/>
  <c r="DI67" i="5"/>
  <c r="CZ68" i="5"/>
  <c r="DB68" i="5"/>
  <c r="DF68" i="5"/>
  <c r="DI68" i="5"/>
  <c r="CZ69" i="5"/>
  <c r="DF69" i="5"/>
  <c r="DI69" i="5"/>
  <c r="CZ70" i="5"/>
  <c r="DF70" i="5"/>
  <c r="DI70" i="5"/>
  <c r="CZ71" i="5"/>
  <c r="DC71" i="5"/>
  <c r="DF71" i="5"/>
  <c r="DI71" i="5"/>
  <c r="CZ72" i="5"/>
  <c r="DF72" i="5"/>
  <c r="DI72" i="5"/>
  <c r="CZ73" i="5"/>
  <c r="DF73" i="5"/>
  <c r="DI73" i="5"/>
  <c r="CZ74" i="5"/>
  <c r="DF74" i="5"/>
  <c r="DI74" i="5"/>
  <c r="CZ75" i="5"/>
  <c r="DF75" i="5"/>
  <c r="DI75" i="5"/>
  <c r="CV76" i="5"/>
  <c r="CX76" i="5"/>
  <c r="CZ76" i="5"/>
  <c r="DF76" i="5"/>
  <c r="DI76" i="5"/>
  <c r="CZ77" i="5"/>
  <c r="DF77" i="5"/>
  <c r="DI77" i="5"/>
  <c r="CZ78" i="5"/>
  <c r="DF78" i="5"/>
  <c r="DI78" i="5"/>
  <c r="CZ79" i="5"/>
  <c r="DF79" i="5"/>
  <c r="DI79" i="5"/>
  <c r="CZ80" i="5"/>
  <c r="DF80" i="5"/>
  <c r="DI80" i="5"/>
  <c r="CZ81" i="5"/>
  <c r="DF81" i="5"/>
  <c r="DI81" i="5"/>
  <c r="CZ82" i="5"/>
  <c r="DF82" i="5"/>
  <c r="DI82" i="5"/>
  <c r="CZ83" i="5"/>
  <c r="DF83" i="5"/>
  <c r="DI83" i="5"/>
  <c r="CZ84" i="5"/>
  <c r="DF84" i="5"/>
  <c r="DI84" i="5"/>
  <c r="CZ85" i="5"/>
  <c r="DF85" i="5"/>
  <c r="DI85" i="5"/>
  <c r="CZ86" i="5"/>
  <c r="DF86" i="5"/>
  <c r="DI86" i="5"/>
  <c r="CZ87" i="5"/>
  <c r="DF87" i="5"/>
  <c r="DI87" i="5"/>
  <c r="CZ88" i="5"/>
  <c r="DF88" i="5"/>
  <c r="DI88" i="5"/>
  <c r="CZ89" i="5"/>
  <c r="DF89" i="5"/>
  <c r="DI89" i="5"/>
  <c r="CZ90" i="5"/>
  <c r="DF90" i="5"/>
  <c r="DI90" i="5"/>
  <c r="CX91" i="5"/>
  <c r="CZ91" i="5"/>
  <c r="DF91" i="5"/>
  <c r="DI91" i="5"/>
  <c r="CZ92" i="5"/>
  <c r="DF92" i="5"/>
  <c r="DI92" i="5"/>
  <c r="CZ93" i="5"/>
  <c r="DB93" i="5"/>
  <c r="DF93" i="5"/>
  <c r="DI93" i="5"/>
  <c r="CZ94" i="5"/>
  <c r="DF94" i="5"/>
  <c r="DI94" i="5"/>
  <c r="CV95" i="5"/>
  <c r="CX95" i="5"/>
  <c r="CZ95" i="5"/>
  <c r="DB95" i="5"/>
  <c r="DC95" i="5"/>
  <c r="DF95" i="5"/>
  <c r="DI95" i="5"/>
  <c r="CZ96" i="5"/>
  <c r="DB96" i="5"/>
  <c r="DF96" i="5"/>
  <c r="DI96" i="5"/>
  <c r="CZ97" i="5"/>
  <c r="DB97" i="5"/>
  <c r="DF97" i="5"/>
  <c r="DI97" i="5"/>
  <c r="CZ98" i="5"/>
  <c r="DB98" i="5"/>
  <c r="DF98" i="5"/>
  <c r="DI98" i="5"/>
  <c r="CZ99" i="5"/>
  <c r="DB99" i="5"/>
  <c r="DF99" i="5"/>
  <c r="DI99" i="5"/>
  <c r="CZ100" i="5"/>
  <c r="DB100" i="5"/>
  <c r="DF100" i="5"/>
  <c r="DI100" i="5"/>
  <c r="CZ101" i="5"/>
  <c r="DB101" i="5"/>
  <c r="DF101" i="5"/>
  <c r="DI101" i="5"/>
  <c r="CZ102" i="5"/>
  <c r="DB102" i="5"/>
  <c r="DF102" i="5"/>
  <c r="DI102" i="5"/>
  <c r="CZ103" i="5"/>
  <c r="DF103" i="5"/>
  <c r="DI103" i="5"/>
  <c r="CZ104" i="5"/>
  <c r="DF104" i="5"/>
  <c r="DI104" i="5"/>
  <c r="DI105" i="5"/>
  <c r="DI107" i="5"/>
  <c r="CY2" i="5"/>
  <c r="DE2" i="5"/>
  <c r="DH2" i="5"/>
  <c r="CY3" i="5"/>
  <c r="DE3" i="5"/>
  <c r="DH3" i="5"/>
  <c r="CY4" i="5"/>
  <c r="DE4" i="5"/>
  <c r="DH4" i="5"/>
  <c r="CY5" i="5"/>
  <c r="DE5" i="5"/>
  <c r="DH5" i="5"/>
  <c r="DH6" i="5"/>
  <c r="DH7" i="5"/>
  <c r="CY8" i="5"/>
  <c r="DE8" i="5"/>
  <c r="DH8" i="5"/>
  <c r="DH9" i="5"/>
  <c r="DH10" i="5"/>
  <c r="DH11" i="5"/>
  <c r="DH12" i="5"/>
  <c r="DH13" i="5"/>
  <c r="DH14" i="5"/>
  <c r="DH15" i="5"/>
  <c r="DH16" i="5"/>
  <c r="DH17" i="5"/>
  <c r="DH18" i="5"/>
  <c r="DH19" i="5"/>
  <c r="DH20" i="5"/>
  <c r="DH21" i="5"/>
  <c r="DH22" i="5"/>
  <c r="DH23" i="5"/>
  <c r="DH24" i="5"/>
  <c r="DH25" i="5"/>
  <c r="DH26" i="5"/>
  <c r="DH27" i="5"/>
  <c r="DH28" i="5"/>
  <c r="DH29" i="5"/>
  <c r="DH30" i="5"/>
  <c r="DH31" i="5"/>
  <c r="DH32" i="5"/>
  <c r="DH33" i="5"/>
  <c r="DH34" i="5"/>
  <c r="DH35" i="5"/>
  <c r="DH36" i="5"/>
  <c r="DH37" i="5"/>
  <c r="DH38" i="5"/>
  <c r="DH39" i="5"/>
  <c r="DH40" i="5"/>
  <c r="DH41" i="5"/>
  <c r="DH42" i="5"/>
  <c r="DH43" i="5"/>
  <c r="DH44" i="5"/>
  <c r="DH45" i="5"/>
  <c r="DH46" i="5"/>
  <c r="DH47" i="5"/>
  <c r="DH48" i="5"/>
  <c r="DH49" i="5"/>
  <c r="DH50" i="5"/>
  <c r="DH51" i="5"/>
  <c r="DH52" i="5"/>
  <c r="DH53" i="5"/>
  <c r="DH54" i="5"/>
  <c r="DH55" i="5"/>
  <c r="DH56" i="5"/>
  <c r="DH57" i="5"/>
  <c r="DH58" i="5"/>
  <c r="DH59" i="5"/>
  <c r="DH60" i="5"/>
  <c r="DH61" i="5"/>
  <c r="DH62" i="5"/>
  <c r="DH63" i="5"/>
  <c r="DH64" i="5"/>
  <c r="DH65" i="5"/>
  <c r="DH66" i="5"/>
  <c r="DH67" i="5"/>
  <c r="DH68" i="5"/>
  <c r="DH69" i="5"/>
  <c r="DH70" i="5"/>
  <c r="DH71" i="5"/>
  <c r="DH72" i="5"/>
  <c r="DH73" i="5"/>
  <c r="DH74" i="5"/>
  <c r="DH75" i="5"/>
  <c r="CY76" i="5"/>
  <c r="DH76" i="5"/>
  <c r="DH77" i="5"/>
  <c r="DH78" i="5"/>
  <c r="DH79" i="5"/>
  <c r="DH80" i="5"/>
  <c r="DH81" i="5"/>
  <c r="DH82" i="5"/>
  <c r="DH83" i="5"/>
  <c r="DH84" i="5"/>
  <c r="DH85" i="5"/>
  <c r="DH86" i="5"/>
  <c r="DH87" i="5"/>
  <c r="DH88" i="5"/>
  <c r="DH89" i="5"/>
  <c r="DH90" i="5"/>
  <c r="DH91" i="5"/>
  <c r="DH92" i="5"/>
  <c r="DH93" i="5"/>
  <c r="DH94" i="5"/>
  <c r="DH95" i="5"/>
  <c r="DH96" i="5"/>
  <c r="DH97" i="5"/>
  <c r="DH98" i="5"/>
  <c r="DH99" i="5"/>
  <c r="DH100" i="5"/>
  <c r="DH101" i="5"/>
  <c r="DH102" i="5"/>
  <c r="DH103" i="5"/>
  <c r="DH104" i="5"/>
  <c r="DH105" i="5"/>
  <c r="DH107" i="5"/>
  <c r="CN105" i="5"/>
  <c r="CN107" i="5"/>
  <c r="DU2" i="5"/>
  <c r="DU3" i="5"/>
  <c r="DU4" i="5"/>
  <c r="DU5" i="5"/>
  <c r="DU6" i="5"/>
  <c r="DU7" i="5"/>
  <c r="DU8" i="5"/>
  <c r="DU9" i="5"/>
  <c r="DU10" i="5"/>
  <c r="DU11" i="5"/>
  <c r="DU12" i="5"/>
  <c r="DU13" i="5"/>
  <c r="DU14" i="5"/>
  <c r="DU15" i="5"/>
  <c r="DU16" i="5"/>
  <c r="DU17" i="5"/>
  <c r="DU18" i="5"/>
  <c r="DU19" i="5"/>
  <c r="DU20" i="5"/>
  <c r="DU21" i="5"/>
  <c r="DU22" i="5"/>
  <c r="DU23" i="5"/>
  <c r="DU24" i="5"/>
  <c r="DU25" i="5"/>
  <c r="DU26" i="5"/>
  <c r="DU27" i="5"/>
  <c r="DU28" i="5"/>
  <c r="DU29" i="5"/>
  <c r="DU30" i="5"/>
  <c r="DU31" i="5"/>
  <c r="DU32" i="5"/>
  <c r="DU33" i="5"/>
  <c r="DU34" i="5"/>
  <c r="DU35" i="5"/>
  <c r="DU36" i="5"/>
  <c r="DU37" i="5"/>
  <c r="DU38" i="5"/>
  <c r="DU39" i="5"/>
  <c r="DU40" i="5"/>
  <c r="DU41" i="5"/>
  <c r="DU42" i="5"/>
  <c r="DU43" i="5"/>
  <c r="DU44" i="5"/>
  <c r="DU45" i="5"/>
  <c r="DU46" i="5"/>
  <c r="DU47" i="5"/>
  <c r="DU48" i="5"/>
  <c r="DU49" i="5"/>
  <c r="DU50" i="5"/>
  <c r="DU51" i="5"/>
  <c r="DU52" i="5"/>
  <c r="DU53" i="5"/>
  <c r="DU54" i="5"/>
  <c r="DU55" i="5"/>
  <c r="DU56" i="5"/>
  <c r="DU57" i="5"/>
  <c r="DU58" i="5"/>
  <c r="DU59" i="5"/>
  <c r="DU60" i="5"/>
  <c r="DU61" i="5"/>
  <c r="DU62" i="5"/>
  <c r="DU63" i="5"/>
  <c r="DU64" i="5"/>
  <c r="DU65" i="5"/>
  <c r="DU66" i="5"/>
  <c r="DU67" i="5"/>
  <c r="DU68" i="5"/>
  <c r="DU69" i="5"/>
  <c r="DU70" i="5"/>
  <c r="DU71" i="5"/>
  <c r="DU72" i="5"/>
  <c r="DU73" i="5"/>
  <c r="DU74" i="5"/>
  <c r="DU75" i="5"/>
  <c r="DU76" i="5"/>
  <c r="DU77" i="5"/>
  <c r="DU78" i="5"/>
  <c r="DU79" i="5"/>
  <c r="DU80" i="5"/>
  <c r="DU81" i="5"/>
  <c r="DU82" i="5"/>
  <c r="DU83" i="5"/>
  <c r="DU84" i="5"/>
  <c r="DU85" i="5"/>
  <c r="DU86" i="5"/>
  <c r="DU87" i="5"/>
  <c r="DU88" i="5"/>
  <c r="DU89" i="5"/>
  <c r="DU90" i="5"/>
  <c r="DU91" i="5"/>
  <c r="DU92" i="5"/>
  <c r="DU93" i="5"/>
  <c r="DU94" i="5"/>
  <c r="DU95" i="5"/>
  <c r="DU96" i="5"/>
  <c r="DU97" i="5"/>
  <c r="DU98" i="5"/>
  <c r="DU99" i="5"/>
  <c r="DU100" i="5"/>
  <c r="DU101" i="5"/>
  <c r="DU102" i="5"/>
  <c r="DU103" i="5"/>
  <c r="DU104" i="5"/>
  <c r="DU105" i="5"/>
  <c r="DT2" i="5"/>
  <c r="DT3" i="5"/>
  <c r="DT4" i="5"/>
  <c r="DT5" i="5"/>
  <c r="DT6" i="5"/>
  <c r="DT7" i="5"/>
  <c r="DT8" i="5"/>
  <c r="DT9" i="5"/>
  <c r="DT10" i="5"/>
  <c r="DT11" i="5"/>
  <c r="DT12" i="5"/>
  <c r="DT13" i="5"/>
  <c r="DT14" i="5"/>
  <c r="DT15" i="5"/>
  <c r="DT16" i="5"/>
  <c r="DT17" i="5"/>
  <c r="DT18" i="5"/>
  <c r="DT19" i="5"/>
  <c r="DT20" i="5"/>
  <c r="DT21" i="5"/>
  <c r="DT22" i="5"/>
  <c r="DT23" i="5"/>
  <c r="DT24" i="5"/>
  <c r="DT25" i="5"/>
  <c r="DT26" i="5"/>
  <c r="DT27" i="5"/>
  <c r="DT28" i="5"/>
  <c r="DT29" i="5"/>
  <c r="DT30" i="5"/>
  <c r="DT31" i="5"/>
  <c r="DT32" i="5"/>
  <c r="DT33" i="5"/>
  <c r="DT34" i="5"/>
  <c r="DT35" i="5"/>
  <c r="DT36" i="5"/>
  <c r="DT37" i="5"/>
  <c r="DT38" i="5"/>
  <c r="DT39" i="5"/>
  <c r="DT40" i="5"/>
  <c r="DT41" i="5"/>
  <c r="DT42" i="5"/>
  <c r="DT43" i="5"/>
  <c r="DT44" i="5"/>
  <c r="DT45" i="5"/>
  <c r="DT46" i="5"/>
  <c r="DT47" i="5"/>
  <c r="DT48" i="5"/>
  <c r="DT49" i="5"/>
  <c r="DT50" i="5"/>
  <c r="DT51" i="5"/>
  <c r="DT52" i="5"/>
  <c r="DT53" i="5"/>
  <c r="DT54" i="5"/>
  <c r="DT55" i="5"/>
  <c r="DT56" i="5"/>
  <c r="DT57" i="5"/>
  <c r="DT58" i="5"/>
  <c r="DT59" i="5"/>
  <c r="DT60" i="5"/>
  <c r="DT61" i="5"/>
  <c r="DT62" i="5"/>
  <c r="DT63" i="5"/>
  <c r="DT64" i="5"/>
  <c r="DT65" i="5"/>
  <c r="DT66" i="5"/>
  <c r="DT67" i="5"/>
  <c r="DT68" i="5"/>
  <c r="DT69" i="5"/>
  <c r="DT70" i="5"/>
  <c r="DT71" i="5"/>
  <c r="DT72" i="5"/>
  <c r="DT73" i="5"/>
  <c r="DT74" i="5"/>
  <c r="DT75" i="5"/>
  <c r="DT76" i="5"/>
  <c r="DT77" i="5"/>
  <c r="DT78" i="5"/>
  <c r="DT79" i="5"/>
  <c r="DT80" i="5"/>
  <c r="DT81" i="5"/>
  <c r="DT82" i="5"/>
  <c r="DT83" i="5"/>
  <c r="DT84" i="5"/>
  <c r="DT85" i="5"/>
  <c r="DT86" i="5"/>
  <c r="DT87" i="5"/>
  <c r="DT88" i="5"/>
  <c r="DT89" i="5"/>
  <c r="DT90" i="5"/>
  <c r="DT91" i="5"/>
  <c r="DT92" i="5"/>
  <c r="DT93" i="5"/>
  <c r="DT94" i="5"/>
  <c r="DT95" i="5"/>
  <c r="DT96" i="5"/>
  <c r="DT97" i="5"/>
  <c r="DT98" i="5"/>
  <c r="DT99" i="5"/>
  <c r="DT100" i="5"/>
  <c r="DT101" i="5"/>
  <c r="DT102" i="5"/>
  <c r="DT103" i="5"/>
  <c r="DT104" i="5"/>
  <c r="DT105" i="5"/>
  <c r="DQ2" i="5"/>
  <c r="DQ3" i="5"/>
  <c r="DQ4" i="5"/>
  <c r="DQ5" i="5"/>
  <c r="DQ6" i="5"/>
  <c r="DQ7" i="5"/>
  <c r="DQ8" i="5"/>
  <c r="DQ9" i="5"/>
  <c r="DQ10" i="5"/>
  <c r="DQ11" i="5"/>
  <c r="DQ12" i="5"/>
  <c r="DQ13" i="5"/>
  <c r="DQ14" i="5"/>
  <c r="DQ15" i="5"/>
  <c r="DQ16" i="5"/>
  <c r="DQ17" i="5"/>
  <c r="DQ18" i="5"/>
  <c r="DQ19" i="5"/>
  <c r="DQ20" i="5"/>
  <c r="DQ21" i="5"/>
  <c r="DQ22" i="5"/>
  <c r="DQ23" i="5"/>
  <c r="DQ24" i="5"/>
  <c r="DQ25" i="5"/>
  <c r="DQ26" i="5"/>
  <c r="DQ27" i="5"/>
  <c r="DQ28" i="5"/>
  <c r="DQ29" i="5"/>
  <c r="DQ30" i="5"/>
  <c r="DQ31" i="5"/>
  <c r="DQ32" i="5"/>
  <c r="DQ33" i="5"/>
  <c r="DQ34" i="5"/>
  <c r="DQ35" i="5"/>
  <c r="DQ36" i="5"/>
  <c r="DQ37" i="5"/>
  <c r="DQ38" i="5"/>
  <c r="DQ39" i="5"/>
  <c r="DQ40" i="5"/>
  <c r="DQ41" i="5"/>
  <c r="DQ42" i="5"/>
  <c r="DQ43" i="5"/>
  <c r="DQ44" i="5"/>
  <c r="DQ45" i="5"/>
  <c r="DQ46" i="5"/>
  <c r="DQ47" i="5"/>
  <c r="DQ48" i="5"/>
  <c r="DQ49" i="5"/>
  <c r="DQ50" i="5"/>
  <c r="DQ51" i="5"/>
  <c r="DQ52" i="5"/>
  <c r="DQ53" i="5"/>
  <c r="DQ54" i="5"/>
  <c r="DQ55" i="5"/>
  <c r="DQ56" i="5"/>
  <c r="DQ57" i="5"/>
  <c r="DQ58" i="5"/>
  <c r="DQ59" i="5"/>
  <c r="DQ60" i="5"/>
  <c r="DQ61" i="5"/>
  <c r="DQ62" i="5"/>
  <c r="DQ63" i="5"/>
  <c r="DQ64" i="5"/>
  <c r="DQ65" i="5"/>
  <c r="DQ66" i="5"/>
  <c r="DQ67" i="5"/>
  <c r="DQ68" i="5"/>
  <c r="DQ69" i="5"/>
  <c r="DQ70" i="5"/>
  <c r="DQ71" i="5"/>
  <c r="DQ72" i="5"/>
  <c r="DQ73" i="5"/>
  <c r="DQ74" i="5"/>
  <c r="DQ75" i="5"/>
  <c r="DQ76" i="5"/>
  <c r="DQ77" i="5"/>
  <c r="DQ78" i="5"/>
  <c r="DQ79" i="5"/>
  <c r="DQ80" i="5"/>
  <c r="DQ81" i="5"/>
  <c r="DQ82" i="5"/>
  <c r="DQ83" i="5"/>
  <c r="DQ84" i="5"/>
  <c r="DQ85" i="5"/>
  <c r="DQ86" i="5"/>
  <c r="DQ87" i="5"/>
  <c r="DQ88" i="5"/>
  <c r="DQ89" i="5"/>
  <c r="DQ90" i="5"/>
  <c r="DQ91" i="5"/>
  <c r="DQ92" i="5"/>
  <c r="DQ93" i="5"/>
  <c r="DQ94" i="5"/>
  <c r="DQ95" i="5"/>
  <c r="DQ96" i="5"/>
  <c r="DQ97" i="5"/>
  <c r="DQ98" i="5"/>
  <c r="DQ99" i="5"/>
  <c r="DQ100" i="5"/>
  <c r="DQ101" i="5"/>
  <c r="DQ102" i="5"/>
  <c r="DQ103" i="5"/>
  <c r="DQ104" i="5"/>
  <c r="DQ105" i="5"/>
  <c r="DP2" i="5"/>
  <c r="DP3" i="5"/>
  <c r="DP4" i="5"/>
  <c r="DP5" i="5"/>
  <c r="DP6" i="5"/>
  <c r="DP7" i="5"/>
  <c r="DP8" i="5"/>
  <c r="DP9" i="5"/>
  <c r="DP10" i="5"/>
  <c r="DP11" i="5"/>
  <c r="DP12" i="5"/>
  <c r="DP13" i="5"/>
  <c r="DP14" i="5"/>
  <c r="DP15" i="5"/>
  <c r="DP16" i="5"/>
  <c r="DP17" i="5"/>
  <c r="DP18" i="5"/>
  <c r="DP19" i="5"/>
  <c r="DP20" i="5"/>
  <c r="DP21" i="5"/>
  <c r="DP22" i="5"/>
  <c r="DP23" i="5"/>
  <c r="DP24" i="5"/>
  <c r="DP25" i="5"/>
  <c r="DP26" i="5"/>
  <c r="DP27" i="5"/>
  <c r="DP28" i="5"/>
  <c r="DP29" i="5"/>
  <c r="DP30" i="5"/>
  <c r="DP31" i="5"/>
  <c r="DP32" i="5"/>
  <c r="DP33" i="5"/>
  <c r="DP34" i="5"/>
  <c r="DP35" i="5"/>
  <c r="DP36" i="5"/>
  <c r="DP37" i="5"/>
  <c r="DP38" i="5"/>
  <c r="DP39" i="5"/>
  <c r="DP40" i="5"/>
  <c r="DP41" i="5"/>
  <c r="DP42" i="5"/>
  <c r="DP43" i="5"/>
  <c r="DP44" i="5"/>
  <c r="DP45" i="5"/>
  <c r="DP46" i="5"/>
  <c r="DP47" i="5"/>
  <c r="DP48" i="5"/>
  <c r="DP49" i="5"/>
  <c r="DP50" i="5"/>
  <c r="DP51" i="5"/>
  <c r="DP52" i="5"/>
  <c r="DP53" i="5"/>
  <c r="DP54" i="5"/>
  <c r="DP55" i="5"/>
  <c r="DP56" i="5"/>
  <c r="DP57" i="5"/>
  <c r="DP58" i="5"/>
  <c r="DP59" i="5"/>
  <c r="DP60" i="5"/>
  <c r="DP61" i="5"/>
  <c r="DP62" i="5"/>
  <c r="DP63" i="5"/>
  <c r="DP64" i="5"/>
  <c r="DP65" i="5"/>
  <c r="DP66" i="5"/>
  <c r="DP67" i="5"/>
  <c r="DP68" i="5"/>
  <c r="DP69" i="5"/>
  <c r="DP70" i="5"/>
  <c r="DP71" i="5"/>
  <c r="DP72" i="5"/>
  <c r="DP73" i="5"/>
  <c r="DP74" i="5"/>
  <c r="DP75" i="5"/>
  <c r="DP76" i="5"/>
  <c r="DP77" i="5"/>
  <c r="DP78" i="5"/>
  <c r="DP79" i="5"/>
  <c r="DP80" i="5"/>
  <c r="DP81" i="5"/>
  <c r="DP82" i="5"/>
  <c r="DP83" i="5"/>
  <c r="DP84" i="5"/>
  <c r="DP85" i="5"/>
  <c r="DP86" i="5"/>
  <c r="DP87" i="5"/>
  <c r="DP88" i="5"/>
  <c r="DP89" i="5"/>
  <c r="DP90" i="5"/>
  <c r="DP91" i="5"/>
  <c r="DP92" i="5"/>
  <c r="DP93" i="5"/>
  <c r="DP94" i="5"/>
  <c r="DP95" i="5"/>
  <c r="DP96" i="5"/>
  <c r="DP97" i="5"/>
  <c r="DP98" i="5"/>
  <c r="DP99" i="5"/>
  <c r="DP100" i="5"/>
  <c r="DP101" i="5"/>
  <c r="DP102" i="5"/>
  <c r="DP103" i="5"/>
  <c r="DP104" i="5"/>
  <c r="DP105" i="5"/>
  <c r="DO2" i="5"/>
  <c r="DO3" i="5"/>
  <c r="DO4" i="5"/>
  <c r="DO5" i="5"/>
  <c r="DO6" i="5"/>
  <c r="DO7" i="5"/>
  <c r="DO8" i="5"/>
  <c r="DO9" i="5"/>
  <c r="DO10" i="5"/>
  <c r="DO11" i="5"/>
  <c r="DO12" i="5"/>
  <c r="DO13" i="5"/>
  <c r="DO14" i="5"/>
  <c r="DO15" i="5"/>
  <c r="DO16" i="5"/>
  <c r="DO17" i="5"/>
  <c r="DO18" i="5"/>
  <c r="DO19" i="5"/>
  <c r="DO20" i="5"/>
  <c r="DO21" i="5"/>
  <c r="DO22" i="5"/>
  <c r="DO23" i="5"/>
  <c r="DO24" i="5"/>
  <c r="DO25" i="5"/>
  <c r="DO26" i="5"/>
  <c r="DO27" i="5"/>
  <c r="DO28" i="5"/>
  <c r="DO29" i="5"/>
  <c r="DO30" i="5"/>
  <c r="DO31" i="5"/>
  <c r="DO32" i="5"/>
  <c r="DO33" i="5"/>
  <c r="DO34" i="5"/>
  <c r="DO35" i="5"/>
  <c r="DO36" i="5"/>
  <c r="DO37" i="5"/>
  <c r="DO38" i="5"/>
  <c r="DO39" i="5"/>
  <c r="DO40" i="5"/>
  <c r="DO41" i="5"/>
  <c r="DO42" i="5"/>
  <c r="DO43" i="5"/>
  <c r="DO44" i="5"/>
  <c r="DO45" i="5"/>
  <c r="DO46" i="5"/>
  <c r="DO47" i="5"/>
  <c r="DO48" i="5"/>
  <c r="DO49" i="5"/>
  <c r="DO50" i="5"/>
  <c r="DO51" i="5"/>
  <c r="DO52" i="5"/>
  <c r="DO53" i="5"/>
  <c r="DO54" i="5"/>
  <c r="DO55" i="5"/>
  <c r="DO56" i="5"/>
  <c r="DO57" i="5"/>
  <c r="DO58" i="5"/>
  <c r="DO59" i="5"/>
  <c r="DO60" i="5"/>
  <c r="DO61" i="5"/>
  <c r="DO62" i="5"/>
  <c r="DO63" i="5"/>
  <c r="DO64" i="5"/>
  <c r="DO65" i="5"/>
  <c r="DO66" i="5"/>
  <c r="DO67" i="5"/>
  <c r="DO68" i="5"/>
  <c r="DO69" i="5"/>
  <c r="DO70" i="5"/>
  <c r="DO71" i="5"/>
  <c r="DO72" i="5"/>
  <c r="DO73" i="5"/>
  <c r="DO74" i="5"/>
  <c r="DO75" i="5"/>
  <c r="DO76" i="5"/>
  <c r="DO77" i="5"/>
  <c r="DO78" i="5"/>
  <c r="DO79" i="5"/>
  <c r="DO80" i="5"/>
  <c r="DO81" i="5"/>
  <c r="DO82" i="5"/>
  <c r="DO83" i="5"/>
  <c r="DO84" i="5"/>
  <c r="DO85" i="5"/>
  <c r="DO86" i="5"/>
  <c r="DO87" i="5"/>
  <c r="DO88" i="5"/>
  <c r="DO89" i="5"/>
  <c r="DO90" i="5"/>
  <c r="DO91" i="5"/>
  <c r="DO92" i="5"/>
  <c r="DO93" i="5"/>
  <c r="DO94" i="5"/>
  <c r="DO95" i="5"/>
  <c r="DO96" i="5"/>
  <c r="DO97" i="5"/>
  <c r="DO98" i="5"/>
  <c r="DO99" i="5"/>
  <c r="DO100" i="5"/>
  <c r="DO101" i="5"/>
  <c r="DO102" i="5"/>
  <c r="DO103" i="5"/>
  <c r="DO104" i="5"/>
  <c r="DO105" i="5"/>
  <c r="DL2" i="5"/>
  <c r="DL3" i="5"/>
  <c r="DL4" i="5"/>
  <c r="DL5" i="5"/>
  <c r="DL6" i="5"/>
  <c r="DL7" i="5"/>
  <c r="DL8" i="5"/>
  <c r="DL9" i="5"/>
  <c r="DL10" i="5"/>
  <c r="DL11" i="5"/>
  <c r="DL12" i="5"/>
  <c r="DL13" i="5"/>
  <c r="DL14" i="5"/>
  <c r="DL15" i="5"/>
  <c r="DL16" i="5"/>
  <c r="DL17" i="5"/>
  <c r="DL18" i="5"/>
  <c r="DL19" i="5"/>
  <c r="DL20" i="5"/>
  <c r="DL21" i="5"/>
  <c r="DL22" i="5"/>
  <c r="DL23" i="5"/>
  <c r="DL24" i="5"/>
  <c r="DL25" i="5"/>
  <c r="DL26" i="5"/>
  <c r="DL27" i="5"/>
  <c r="DL28" i="5"/>
  <c r="DL29" i="5"/>
  <c r="DL30" i="5"/>
  <c r="DL31" i="5"/>
  <c r="DL32" i="5"/>
  <c r="DL33" i="5"/>
  <c r="DL34" i="5"/>
  <c r="DL35" i="5"/>
  <c r="DL36" i="5"/>
  <c r="DL37" i="5"/>
  <c r="DL38" i="5"/>
  <c r="DL39" i="5"/>
  <c r="DL40" i="5"/>
  <c r="DL41" i="5"/>
  <c r="DL42" i="5"/>
  <c r="DL43" i="5"/>
  <c r="DL44" i="5"/>
  <c r="DL45" i="5"/>
  <c r="DL46" i="5"/>
  <c r="DL47" i="5"/>
  <c r="DL48" i="5"/>
  <c r="DL49" i="5"/>
  <c r="DL50" i="5"/>
  <c r="DL51" i="5"/>
  <c r="DL52" i="5"/>
  <c r="DL53" i="5"/>
  <c r="DL54" i="5"/>
  <c r="DL55" i="5"/>
  <c r="DL56" i="5"/>
  <c r="DL57" i="5"/>
  <c r="DL58" i="5"/>
  <c r="DL59" i="5"/>
  <c r="DL60" i="5"/>
  <c r="DL61" i="5"/>
  <c r="DL62" i="5"/>
  <c r="DL63" i="5"/>
  <c r="DL64" i="5"/>
  <c r="DL65" i="5"/>
  <c r="DL66" i="5"/>
  <c r="DL67" i="5"/>
  <c r="DL68" i="5"/>
  <c r="DL69" i="5"/>
  <c r="DL70" i="5"/>
  <c r="DL71" i="5"/>
  <c r="DL72" i="5"/>
  <c r="DL73" i="5"/>
  <c r="DL74" i="5"/>
  <c r="DL75" i="5"/>
  <c r="DL76" i="5"/>
  <c r="DL77" i="5"/>
  <c r="DL78" i="5"/>
  <c r="DL79" i="5"/>
  <c r="DL80" i="5"/>
  <c r="DL81" i="5"/>
  <c r="DL82" i="5"/>
  <c r="DL83" i="5"/>
  <c r="DL84" i="5"/>
  <c r="DL85" i="5"/>
  <c r="DL86" i="5"/>
  <c r="DL87" i="5"/>
  <c r="DL88" i="5"/>
  <c r="DL89" i="5"/>
  <c r="DL90" i="5"/>
  <c r="DL91" i="5"/>
  <c r="DL92" i="5"/>
  <c r="DL93" i="5"/>
  <c r="DL94" i="5"/>
  <c r="DL95" i="5"/>
  <c r="DL96" i="5"/>
  <c r="DL97" i="5"/>
  <c r="DL98" i="5"/>
  <c r="DL99" i="5"/>
  <c r="DL100" i="5"/>
  <c r="DL101" i="5"/>
  <c r="DL102" i="5"/>
  <c r="DL103" i="5"/>
  <c r="DL104" i="5"/>
  <c r="DL105" i="5"/>
  <c r="BE2" i="5"/>
  <c r="DG2" i="5"/>
  <c r="DG3" i="5"/>
  <c r="BE4" i="5"/>
  <c r="DG4" i="5"/>
  <c r="BE5" i="5"/>
  <c r="DG5" i="5"/>
  <c r="DG6" i="5"/>
  <c r="DG7" i="5"/>
  <c r="BE8" i="5"/>
  <c r="DG8" i="5"/>
  <c r="DG10" i="5"/>
  <c r="DG11" i="5"/>
  <c r="DG12" i="5"/>
  <c r="DG13" i="5"/>
  <c r="DG14" i="5"/>
  <c r="DG15" i="5"/>
  <c r="DG16" i="5"/>
  <c r="DG17" i="5"/>
  <c r="DG18" i="5"/>
  <c r="DG19" i="5"/>
  <c r="DG20" i="5"/>
  <c r="DG21" i="5"/>
  <c r="DG22" i="5"/>
  <c r="DG23" i="5"/>
  <c r="DG24" i="5"/>
  <c r="DG25" i="5"/>
  <c r="DG26" i="5"/>
  <c r="DG27" i="5"/>
  <c r="DG28" i="5"/>
  <c r="DG29" i="5"/>
  <c r="DG30" i="5"/>
  <c r="DG31" i="5"/>
  <c r="DG32" i="5"/>
  <c r="DG33" i="5"/>
  <c r="DG34" i="5"/>
  <c r="DG35" i="5"/>
  <c r="DG36" i="5"/>
  <c r="DG37" i="5"/>
  <c r="DG38" i="5"/>
  <c r="DG39" i="5"/>
  <c r="DG40" i="5"/>
  <c r="DG41" i="5"/>
  <c r="DG42" i="5"/>
  <c r="DG43" i="5"/>
  <c r="DG44" i="5"/>
  <c r="DG45" i="5"/>
  <c r="DG46" i="5"/>
  <c r="DG47" i="5"/>
  <c r="DG48" i="5"/>
  <c r="DG49" i="5"/>
  <c r="DG50" i="5"/>
  <c r="DG51" i="5"/>
  <c r="DG52" i="5"/>
  <c r="DG53" i="5"/>
  <c r="DG54" i="5"/>
  <c r="DG55" i="5"/>
  <c r="DG56" i="5"/>
  <c r="DG57" i="5"/>
  <c r="DG58" i="5"/>
  <c r="DG59" i="5"/>
  <c r="DG62" i="5"/>
  <c r="DG63" i="5"/>
  <c r="DG64" i="5"/>
  <c r="DG65" i="5"/>
  <c r="DG66" i="5"/>
  <c r="DG67" i="5"/>
  <c r="DG68" i="5"/>
  <c r="DG69" i="5"/>
  <c r="DG70" i="5"/>
  <c r="DG71" i="5"/>
  <c r="DG72" i="5"/>
  <c r="DG73" i="5"/>
  <c r="DG74" i="5"/>
  <c r="DG75" i="5"/>
  <c r="DG76" i="5"/>
  <c r="DG84" i="5"/>
  <c r="DG85" i="5"/>
  <c r="DG86" i="5"/>
  <c r="DG88" i="5"/>
  <c r="DG89" i="5"/>
  <c r="DG90" i="5"/>
  <c r="DG91" i="5"/>
  <c r="DG92" i="5"/>
  <c r="DG93" i="5"/>
  <c r="DG94" i="5"/>
  <c r="DG95" i="5"/>
  <c r="DG96" i="5"/>
  <c r="DG97" i="5"/>
  <c r="DG98" i="5"/>
  <c r="DG99" i="5"/>
  <c r="DG100" i="5"/>
  <c r="DG101" i="5"/>
  <c r="DG102" i="5"/>
  <c r="DG103" i="5"/>
  <c r="DG104" i="5"/>
  <c r="DG105" i="5"/>
  <c r="DF105" i="5"/>
  <c r="DE105" i="5"/>
  <c r="DD105" i="5"/>
  <c r="DC105" i="5"/>
  <c r="DB105" i="5"/>
  <c r="DA2" i="5"/>
  <c r="DA3" i="5"/>
  <c r="DA4" i="5"/>
  <c r="DA5" i="5"/>
  <c r="DA6" i="5"/>
  <c r="DA7" i="5"/>
  <c r="DA8" i="5"/>
  <c r="DA10" i="5"/>
  <c r="DA11" i="5"/>
  <c r="DA12" i="5"/>
  <c r="DA13" i="5"/>
  <c r="DA14" i="5"/>
  <c r="DA15" i="5"/>
  <c r="DA16" i="5"/>
  <c r="DA17" i="5"/>
  <c r="DA18" i="5"/>
  <c r="DA19" i="5"/>
  <c r="DA20" i="5"/>
  <c r="DA21" i="5"/>
  <c r="DA22" i="5"/>
  <c r="DA23" i="5"/>
  <c r="DA24" i="5"/>
  <c r="DA25" i="5"/>
  <c r="DA26" i="5"/>
  <c r="DA27" i="5"/>
  <c r="DA28" i="5"/>
  <c r="DA29" i="5"/>
  <c r="DA30" i="5"/>
  <c r="DA31" i="5"/>
  <c r="DA32" i="5"/>
  <c r="DA33" i="5"/>
  <c r="DA34" i="5"/>
  <c r="DA35" i="5"/>
  <c r="DA36" i="5"/>
  <c r="DA37" i="5"/>
  <c r="DA38" i="5"/>
  <c r="DA39" i="5"/>
  <c r="DA40" i="5"/>
  <c r="DA41" i="5"/>
  <c r="DA42" i="5"/>
  <c r="DA43" i="5"/>
  <c r="DA44" i="5"/>
  <c r="DA45" i="5"/>
  <c r="DA46" i="5"/>
  <c r="DA47" i="5"/>
  <c r="DA48" i="5"/>
  <c r="DA49" i="5"/>
  <c r="DA50" i="5"/>
  <c r="DA51" i="5"/>
  <c r="DA52" i="5"/>
  <c r="DA53" i="5"/>
  <c r="DA54" i="5"/>
  <c r="DA55" i="5"/>
  <c r="DA56" i="5"/>
  <c r="DA57" i="5"/>
  <c r="DA58" i="5"/>
  <c r="DA59" i="5"/>
  <c r="DA62" i="5"/>
  <c r="DA63" i="5"/>
  <c r="DA64" i="5"/>
  <c r="DA65" i="5"/>
  <c r="DA66" i="5"/>
  <c r="DA67" i="5"/>
  <c r="DA68" i="5"/>
  <c r="DA69" i="5"/>
  <c r="DA70" i="5"/>
  <c r="DA71" i="5"/>
  <c r="DA72" i="5"/>
  <c r="DA73" i="5"/>
  <c r="DA74" i="5"/>
  <c r="DA75" i="5"/>
  <c r="DA76" i="5"/>
  <c r="DA84" i="5"/>
  <c r="DA85" i="5"/>
  <c r="DA86" i="5"/>
  <c r="DA88" i="5"/>
  <c r="DA89" i="5"/>
  <c r="DA90" i="5"/>
  <c r="DA91" i="5"/>
  <c r="DA92" i="5"/>
  <c r="DA93" i="5"/>
  <c r="DA94" i="5"/>
  <c r="DA95" i="5"/>
  <c r="DA96" i="5"/>
  <c r="DA97" i="5"/>
  <c r="DA98" i="5"/>
  <c r="DA99" i="5"/>
  <c r="DA100" i="5"/>
  <c r="DA101" i="5"/>
  <c r="DA102" i="5"/>
  <c r="DA103" i="5"/>
  <c r="DA104" i="5"/>
  <c r="DA105" i="5"/>
  <c r="CZ105" i="5"/>
  <c r="CY105" i="5"/>
  <c r="CX105" i="5"/>
  <c r="CW105" i="5"/>
  <c r="CV105" i="5"/>
  <c r="CU2" i="5"/>
  <c r="CU3" i="5"/>
  <c r="CU4" i="5"/>
  <c r="CU5" i="5"/>
  <c r="CU6" i="5"/>
  <c r="CU7" i="5"/>
  <c r="CU8" i="5"/>
  <c r="CU10" i="5"/>
  <c r="CU11" i="5"/>
  <c r="CU12" i="5"/>
  <c r="CU13" i="5"/>
  <c r="CU14" i="5"/>
  <c r="CU15" i="5"/>
  <c r="CU16" i="5"/>
  <c r="CU17" i="5"/>
  <c r="CU18" i="5"/>
  <c r="CU19" i="5"/>
  <c r="CU20" i="5"/>
  <c r="CU21" i="5"/>
  <c r="CU22" i="5"/>
  <c r="CU23" i="5"/>
  <c r="CU24" i="5"/>
  <c r="CU25" i="5"/>
  <c r="CU26" i="5"/>
  <c r="CU27" i="5"/>
  <c r="CU28" i="5"/>
  <c r="CU29" i="5"/>
  <c r="CU30" i="5"/>
  <c r="CU31" i="5"/>
  <c r="CU32" i="5"/>
  <c r="CU33" i="5"/>
  <c r="CU34" i="5"/>
  <c r="CU35" i="5"/>
  <c r="CU36" i="5"/>
  <c r="CU37" i="5"/>
  <c r="CU38" i="5"/>
  <c r="CU39" i="5"/>
  <c r="CU40" i="5"/>
  <c r="CU41" i="5"/>
  <c r="CU42" i="5"/>
  <c r="CU43" i="5"/>
  <c r="CU44" i="5"/>
  <c r="CU45" i="5"/>
  <c r="CU46" i="5"/>
  <c r="CU47" i="5"/>
  <c r="CU48" i="5"/>
  <c r="CU49" i="5"/>
  <c r="CU50" i="5"/>
  <c r="CU51" i="5"/>
  <c r="CU52" i="5"/>
  <c r="CU53" i="5"/>
  <c r="CU54" i="5"/>
  <c r="CU55" i="5"/>
  <c r="CU56" i="5"/>
  <c r="CU57" i="5"/>
  <c r="CU58" i="5"/>
  <c r="CU59" i="5"/>
  <c r="CU62" i="5"/>
  <c r="CU63" i="5"/>
  <c r="CU64" i="5"/>
  <c r="CU65" i="5"/>
  <c r="CU66" i="5"/>
  <c r="CU67" i="5"/>
  <c r="CU68" i="5"/>
  <c r="CU69" i="5"/>
  <c r="CU70" i="5"/>
  <c r="CU71" i="5"/>
  <c r="CU72" i="5"/>
  <c r="CU73" i="5"/>
  <c r="CU74" i="5"/>
  <c r="CU75" i="5"/>
  <c r="CU76" i="5"/>
  <c r="CU84" i="5"/>
  <c r="CU85" i="5"/>
  <c r="CU86" i="5"/>
  <c r="CU87" i="5"/>
  <c r="CU88" i="5"/>
  <c r="CU89" i="5"/>
  <c r="CU90" i="5"/>
  <c r="CU91" i="5"/>
  <c r="CU92" i="5"/>
  <c r="CU93" i="5"/>
  <c r="CU94" i="5"/>
  <c r="CU95" i="5"/>
  <c r="CU96" i="5"/>
  <c r="CU97" i="5"/>
  <c r="CU98" i="5"/>
  <c r="CU99" i="5"/>
  <c r="CU100" i="5"/>
  <c r="CU101" i="5"/>
  <c r="CU102" i="5"/>
  <c r="CU103" i="5"/>
  <c r="CU104" i="5"/>
  <c r="CU105" i="5"/>
  <c r="CT105" i="5"/>
  <c r="CS105" i="5"/>
  <c r="CM105" i="5"/>
  <c r="CL105" i="5"/>
  <c r="CK105" i="5"/>
  <c r="CJ105" i="5"/>
  <c r="BN105" i="5"/>
  <c r="BM105" i="5"/>
  <c r="BL105" i="5"/>
  <c r="BE105" i="5"/>
  <c r="DZ104" i="5"/>
  <c r="DJ104" i="5"/>
  <c r="CO104" i="5"/>
  <c r="BO104" i="5"/>
  <c r="BT104" i="5"/>
  <c r="BY104" i="5"/>
  <c r="CD104" i="5"/>
  <c r="CF104" i="5"/>
  <c r="CG104" i="5"/>
  <c r="CE104" i="5"/>
  <c r="BZ104" i="5"/>
  <c r="BU104" i="5"/>
  <c r="BP104" i="5"/>
  <c r="DZ103" i="5"/>
  <c r="DJ103" i="5"/>
  <c r="CO103" i="5"/>
  <c r="BO103" i="5"/>
  <c r="BT103" i="5"/>
  <c r="BY103" i="5"/>
  <c r="CD103" i="5"/>
  <c r="CF103" i="5"/>
  <c r="AP103" i="5"/>
  <c r="CG103" i="5"/>
  <c r="CE103" i="5"/>
  <c r="BZ103" i="5"/>
  <c r="BU103" i="5"/>
  <c r="BP103" i="5"/>
  <c r="AH103" i="5"/>
  <c r="DZ102" i="5"/>
  <c r="DJ102" i="5"/>
  <c r="CO102" i="5"/>
  <c r="BO102" i="5"/>
  <c r="BT102" i="5"/>
  <c r="BY102" i="5"/>
  <c r="CD102" i="5"/>
  <c r="CF102" i="5"/>
  <c r="AP102" i="5"/>
  <c r="CG102" i="5"/>
  <c r="CE102" i="5"/>
  <c r="BZ102" i="5"/>
  <c r="BU102" i="5"/>
  <c r="BP102" i="5"/>
  <c r="AH102" i="5"/>
  <c r="DJ101" i="5"/>
  <c r="CO101" i="5"/>
  <c r="BO101" i="5"/>
  <c r="BT101" i="5"/>
  <c r="BY101" i="5"/>
  <c r="CD101" i="5"/>
  <c r="CF101" i="5"/>
  <c r="AP101" i="5"/>
  <c r="CG101" i="5"/>
  <c r="CE101" i="5"/>
  <c r="BZ101" i="5"/>
  <c r="BU101" i="5"/>
  <c r="BP101" i="5"/>
  <c r="AH101" i="5"/>
  <c r="DJ100" i="5"/>
  <c r="CO100" i="5"/>
  <c r="BO100" i="5"/>
  <c r="BT100" i="5"/>
  <c r="BY100" i="5"/>
  <c r="CD100" i="5"/>
  <c r="CF100" i="5"/>
  <c r="AP100" i="5"/>
  <c r="CG100" i="5"/>
  <c r="CE100" i="5"/>
  <c r="BZ100" i="5"/>
  <c r="BU100" i="5"/>
  <c r="BP100" i="5"/>
  <c r="AH100" i="5"/>
  <c r="DJ99" i="5"/>
  <c r="CO99" i="5"/>
  <c r="BO99" i="5"/>
  <c r="BT99" i="5"/>
  <c r="BY99" i="5"/>
  <c r="CD99" i="5"/>
  <c r="CF99" i="5"/>
  <c r="AP99" i="5"/>
  <c r="CG99" i="5"/>
  <c r="CE99" i="5"/>
  <c r="BZ99" i="5"/>
  <c r="BU99" i="5"/>
  <c r="BP99" i="5"/>
  <c r="AH99" i="5"/>
  <c r="DJ98" i="5"/>
  <c r="CO98" i="5"/>
  <c r="BO98" i="5"/>
  <c r="BT98" i="5"/>
  <c r="BY98" i="5"/>
  <c r="CD98" i="5"/>
  <c r="CF98" i="5"/>
  <c r="AP98" i="5"/>
  <c r="CG98" i="5"/>
  <c r="CE98" i="5"/>
  <c r="BZ98" i="5"/>
  <c r="BU98" i="5"/>
  <c r="BP98" i="5"/>
  <c r="AH98" i="5"/>
  <c r="DJ97" i="5"/>
  <c r="CO97" i="5"/>
  <c r="BO97" i="5"/>
  <c r="BT97" i="5"/>
  <c r="BY97" i="5"/>
  <c r="CD97" i="5"/>
  <c r="CF97" i="5"/>
  <c r="AP97" i="5"/>
  <c r="CG97" i="5"/>
  <c r="CE97" i="5"/>
  <c r="BZ97" i="5"/>
  <c r="BU97" i="5"/>
  <c r="BP97" i="5"/>
  <c r="AH97" i="5"/>
  <c r="DJ96" i="5"/>
  <c r="CO96" i="5"/>
  <c r="BO96" i="5"/>
  <c r="BT96" i="5"/>
  <c r="BY96" i="5"/>
  <c r="CD96" i="5"/>
  <c r="CF96" i="5"/>
  <c r="AP96" i="5"/>
  <c r="CG96" i="5"/>
  <c r="CE96" i="5"/>
  <c r="BZ96" i="5"/>
  <c r="BU96" i="5"/>
  <c r="BP96" i="5"/>
  <c r="AC96" i="5"/>
  <c r="AH96" i="5"/>
  <c r="DJ95" i="5"/>
  <c r="CO95" i="5"/>
  <c r="BO95" i="5"/>
  <c r="BT95" i="5"/>
  <c r="BY95" i="5"/>
  <c r="CD95" i="5"/>
  <c r="CF95" i="5"/>
  <c r="AP95" i="5"/>
  <c r="CG95" i="5"/>
  <c r="CE95" i="5"/>
  <c r="BZ95" i="5"/>
  <c r="BU95" i="5"/>
  <c r="BP95" i="5"/>
  <c r="AH95" i="5"/>
  <c r="DJ94" i="5"/>
  <c r="CO94" i="5"/>
  <c r="BO94" i="5"/>
  <c r="BT94" i="5"/>
  <c r="BY94" i="5"/>
  <c r="CD94" i="5"/>
  <c r="CF94" i="5"/>
  <c r="CG94" i="5"/>
  <c r="CE94" i="5"/>
  <c r="BZ94" i="5"/>
  <c r="BU94" i="5"/>
  <c r="BP94" i="5"/>
  <c r="AC94" i="5"/>
  <c r="AH94" i="5"/>
  <c r="DJ93" i="5"/>
  <c r="CO93" i="5"/>
  <c r="BO93" i="5"/>
  <c r="BT93" i="5"/>
  <c r="BY93" i="5"/>
  <c r="CD93" i="5"/>
  <c r="CF93" i="5"/>
  <c r="AP93" i="5"/>
  <c r="CG93" i="5"/>
  <c r="CE93" i="5"/>
  <c r="BZ93" i="5"/>
  <c r="BU93" i="5"/>
  <c r="BP93" i="5"/>
  <c r="AH93" i="5"/>
  <c r="DJ92" i="5"/>
  <c r="CO92" i="5"/>
  <c r="BO92" i="5"/>
  <c r="BT92" i="5"/>
  <c r="BY92" i="5"/>
  <c r="CD92" i="5"/>
  <c r="CF92" i="5"/>
  <c r="AP92" i="5"/>
  <c r="CG92" i="5"/>
  <c r="CE92" i="5"/>
  <c r="BZ92" i="5"/>
  <c r="BU92" i="5"/>
  <c r="BP92" i="5"/>
  <c r="AH92" i="5"/>
  <c r="DZ91" i="5"/>
  <c r="DJ91" i="5"/>
  <c r="CO91" i="5"/>
  <c r="BO91" i="5"/>
  <c r="BT91" i="5"/>
  <c r="BY91" i="5"/>
  <c r="CD91" i="5"/>
  <c r="CF91" i="5"/>
  <c r="AP91" i="5"/>
  <c r="CG91" i="5"/>
  <c r="CE91" i="5"/>
  <c r="BZ91" i="5"/>
  <c r="BU91" i="5"/>
  <c r="BP91" i="5"/>
  <c r="AA91" i="5"/>
  <c r="AH91" i="5"/>
  <c r="DJ90" i="5"/>
  <c r="CO90" i="5"/>
  <c r="BO90" i="5"/>
  <c r="BT90" i="5"/>
  <c r="BY90" i="5"/>
  <c r="CD90" i="5"/>
  <c r="CF90" i="5"/>
  <c r="AP90" i="5"/>
  <c r="CG90" i="5"/>
  <c r="CE90" i="5"/>
  <c r="BZ90" i="5"/>
  <c r="BU90" i="5"/>
  <c r="BP90" i="5"/>
  <c r="AC90" i="5"/>
  <c r="AH90" i="5"/>
  <c r="DJ89" i="5"/>
  <c r="CO89" i="5"/>
  <c r="BO89" i="5"/>
  <c r="BT89" i="5"/>
  <c r="BY89" i="5"/>
  <c r="CD89" i="5"/>
  <c r="CF89" i="5"/>
  <c r="AP89" i="5"/>
  <c r="CG89" i="5"/>
  <c r="CE89" i="5"/>
  <c r="BZ89" i="5"/>
  <c r="BU89" i="5"/>
  <c r="BP89" i="5"/>
  <c r="X89" i="5"/>
  <c r="AH89" i="5"/>
  <c r="DJ88" i="5"/>
  <c r="CO88" i="5"/>
  <c r="BO88" i="5"/>
  <c r="BT88" i="5"/>
  <c r="BY88" i="5"/>
  <c r="CD88" i="5"/>
  <c r="CF88" i="5"/>
  <c r="AP88" i="5"/>
  <c r="CG88" i="5"/>
  <c r="CE88" i="5"/>
  <c r="BZ88" i="5"/>
  <c r="BU88" i="5"/>
  <c r="BP88" i="5"/>
  <c r="X88" i="5"/>
  <c r="AH88" i="5"/>
  <c r="BO87" i="5"/>
  <c r="BT87" i="5"/>
  <c r="BY87" i="5"/>
  <c r="CD87" i="5"/>
  <c r="CF87" i="5"/>
  <c r="CG87" i="5"/>
  <c r="CE87" i="5"/>
  <c r="BZ87" i="5"/>
  <c r="BU87" i="5"/>
  <c r="BP87" i="5"/>
  <c r="DV86" i="5"/>
  <c r="DJ86" i="5"/>
  <c r="CO86" i="5"/>
  <c r="BO86" i="5"/>
  <c r="BT86" i="5"/>
  <c r="BY86" i="5"/>
  <c r="CD86" i="5"/>
  <c r="CF86" i="5"/>
  <c r="AP86" i="5"/>
  <c r="CG86" i="5"/>
  <c r="CE86" i="5"/>
  <c r="BZ86" i="5"/>
  <c r="BU86" i="5"/>
  <c r="BP86" i="5"/>
  <c r="AH86" i="5"/>
  <c r="DJ85" i="5"/>
  <c r="CO85" i="5"/>
  <c r="BO85" i="5"/>
  <c r="BT85" i="5"/>
  <c r="BY85" i="5"/>
  <c r="CD85" i="5"/>
  <c r="CF85" i="5"/>
  <c r="AP85" i="5"/>
  <c r="CG85" i="5"/>
  <c r="CE85" i="5"/>
  <c r="BZ85" i="5"/>
  <c r="BU85" i="5"/>
  <c r="BP85" i="5"/>
  <c r="AH85" i="5"/>
  <c r="DV84" i="5"/>
  <c r="DJ84" i="5"/>
  <c r="CO84" i="5"/>
  <c r="BO84" i="5"/>
  <c r="BT84" i="5"/>
  <c r="BY84" i="5"/>
  <c r="CD84" i="5"/>
  <c r="CF84" i="5"/>
  <c r="AP84" i="5"/>
  <c r="CG84" i="5"/>
  <c r="CE84" i="5"/>
  <c r="BZ84" i="5"/>
  <c r="BU84" i="5"/>
  <c r="BP84" i="5"/>
  <c r="AH84" i="5"/>
  <c r="BO83" i="5"/>
  <c r="BT83" i="5"/>
  <c r="BY83" i="5"/>
  <c r="CD83" i="5"/>
  <c r="CF83" i="5"/>
  <c r="AU83" i="5"/>
  <c r="CE83" i="5"/>
  <c r="AT83" i="5"/>
  <c r="AP83" i="5"/>
  <c r="BZ83" i="5"/>
  <c r="BU83" i="5"/>
  <c r="BP83" i="5"/>
  <c r="DZ82" i="5"/>
  <c r="BO82" i="5"/>
  <c r="BT82" i="5"/>
  <c r="BY82" i="5"/>
  <c r="CD82" i="5"/>
  <c r="CF82" i="5"/>
  <c r="AU82" i="5"/>
  <c r="CE82" i="5"/>
  <c r="AT82" i="5"/>
  <c r="AP82" i="5"/>
  <c r="BZ82" i="5"/>
  <c r="BU82" i="5"/>
  <c r="BP82" i="5"/>
  <c r="DZ81" i="5"/>
  <c r="BO81" i="5"/>
  <c r="BT81" i="5"/>
  <c r="BY81" i="5"/>
  <c r="CD81" i="5"/>
  <c r="CF81" i="5"/>
  <c r="CE81" i="5"/>
  <c r="AP81" i="5"/>
  <c r="BZ81" i="5"/>
  <c r="BU81" i="5"/>
  <c r="BP81" i="5"/>
  <c r="BO80" i="5"/>
  <c r="BT80" i="5"/>
  <c r="BY80" i="5"/>
  <c r="CD80" i="5"/>
  <c r="CF80" i="5"/>
  <c r="CE80" i="5"/>
  <c r="AP80" i="5"/>
  <c r="BZ80" i="5"/>
  <c r="BU80" i="5"/>
  <c r="BP80" i="5"/>
  <c r="BO79" i="5"/>
  <c r="BT79" i="5"/>
  <c r="BY79" i="5"/>
  <c r="CD79" i="5"/>
  <c r="CF79" i="5"/>
  <c r="AU79" i="5"/>
  <c r="CE79" i="5"/>
  <c r="AT79" i="5"/>
  <c r="AP79" i="5"/>
  <c r="BZ79" i="5"/>
  <c r="BU79" i="5"/>
  <c r="BP79" i="5"/>
  <c r="DZ78" i="5"/>
  <c r="BO78" i="5"/>
  <c r="BT78" i="5"/>
  <c r="BY78" i="5"/>
  <c r="CD78" i="5"/>
  <c r="CF78" i="5"/>
  <c r="AU78" i="5"/>
  <c r="CE78" i="5"/>
  <c r="AT78" i="5"/>
  <c r="AP78" i="5"/>
  <c r="BZ78" i="5"/>
  <c r="BU78" i="5"/>
  <c r="BP78" i="5"/>
  <c r="BO77" i="5"/>
  <c r="BT77" i="5"/>
  <c r="BY77" i="5"/>
  <c r="CD77" i="5"/>
  <c r="CF77" i="5"/>
  <c r="AU77" i="5"/>
  <c r="CE77" i="5"/>
  <c r="AT77" i="5"/>
  <c r="AP77" i="5"/>
  <c r="BZ77" i="5"/>
  <c r="BU77" i="5"/>
  <c r="BP77" i="5"/>
  <c r="DJ76" i="5"/>
  <c r="CO76" i="5"/>
  <c r="BO76" i="5"/>
  <c r="BT76" i="5"/>
  <c r="BY76" i="5"/>
  <c r="CD76" i="5"/>
  <c r="CF76" i="5"/>
  <c r="AP76" i="5"/>
  <c r="CG76" i="5"/>
  <c r="CE76" i="5"/>
  <c r="BZ76" i="5"/>
  <c r="BU76" i="5"/>
  <c r="BP76" i="5"/>
  <c r="X76" i="5"/>
  <c r="AH76" i="5"/>
  <c r="DJ75" i="5"/>
  <c r="CO75" i="5"/>
  <c r="BO75" i="5"/>
  <c r="BT75" i="5"/>
  <c r="BY75" i="5"/>
  <c r="CD75" i="5"/>
  <c r="CF75" i="5"/>
  <c r="AP75" i="5"/>
  <c r="CG75" i="5"/>
  <c r="CE75" i="5"/>
  <c r="BZ75" i="5"/>
  <c r="BU75" i="5"/>
  <c r="BP75" i="5"/>
  <c r="AC75" i="5"/>
  <c r="AH75" i="5"/>
  <c r="DJ74" i="5"/>
  <c r="CO74" i="5"/>
  <c r="BO74" i="5"/>
  <c r="BT74" i="5"/>
  <c r="BY74" i="5"/>
  <c r="CD74" i="5"/>
  <c r="CF74" i="5"/>
  <c r="AP74" i="5"/>
  <c r="CG74" i="5"/>
  <c r="CE74" i="5"/>
  <c r="BZ74" i="5"/>
  <c r="BU74" i="5"/>
  <c r="BP74" i="5"/>
  <c r="AC74" i="5"/>
  <c r="AH74" i="5"/>
  <c r="DJ73" i="5"/>
  <c r="CO73" i="5"/>
  <c r="BO73" i="5"/>
  <c r="BT73" i="5"/>
  <c r="BY73" i="5"/>
  <c r="CD73" i="5"/>
  <c r="CF73" i="5"/>
  <c r="AP73" i="5"/>
  <c r="CG73" i="5"/>
  <c r="CE73" i="5"/>
  <c r="BZ73" i="5"/>
  <c r="BU73" i="5"/>
  <c r="BP73" i="5"/>
  <c r="AH73" i="5"/>
  <c r="DJ72" i="5"/>
  <c r="CO72" i="5"/>
  <c r="BO72" i="5"/>
  <c r="BT72" i="5"/>
  <c r="BY72" i="5"/>
  <c r="CD72" i="5"/>
  <c r="CF72" i="5"/>
  <c r="AP72" i="5"/>
  <c r="CG72" i="5"/>
  <c r="CE72" i="5"/>
  <c r="BZ72" i="5"/>
  <c r="BU72" i="5"/>
  <c r="BP72" i="5"/>
  <c r="AH72" i="5"/>
  <c r="DJ71" i="5"/>
  <c r="CO71" i="5"/>
  <c r="BO71" i="5"/>
  <c r="BT71" i="5"/>
  <c r="BY71" i="5"/>
  <c r="CD71" i="5"/>
  <c r="CF71" i="5"/>
  <c r="AP71" i="5"/>
  <c r="CG71" i="5"/>
  <c r="CE71" i="5"/>
  <c r="BZ71" i="5"/>
  <c r="BU71" i="5"/>
  <c r="BP71" i="5"/>
  <c r="AH71" i="5"/>
  <c r="DJ70" i="5"/>
  <c r="CO70" i="5"/>
  <c r="BO70" i="5"/>
  <c r="BT70" i="5"/>
  <c r="BY70" i="5"/>
  <c r="CD70" i="5"/>
  <c r="CF70" i="5"/>
  <c r="AP70" i="5"/>
  <c r="CG70" i="5"/>
  <c r="CE70" i="5"/>
  <c r="BZ70" i="5"/>
  <c r="BU70" i="5"/>
  <c r="BP70" i="5"/>
  <c r="AH70" i="5"/>
  <c r="DJ69" i="5"/>
  <c r="CO69" i="5"/>
  <c r="BO69" i="5"/>
  <c r="BT69" i="5"/>
  <c r="BY69" i="5"/>
  <c r="CD69" i="5"/>
  <c r="CF69" i="5"/>
  <c r="AP69" i="5"/>
  <c r="CG69" i="5"/>
  <c r="CE69" i="5"/>
  <c r="BZ69" i="5"/>
  <c r="BU69" i="5"/>
  <c r="BP69" i="5"/>
  <c r="AH69" i="5"/>
  <c r="DJ68" i="5"/>
  <c r="CO68" i="5"/>
  <c r="BO68" i="5"/>
  <c r="BT68" i="5"/>
  <c r="BY68" i="5"/>
  <c r="CD68" i="5"/>
  <c r="CF68" i="5"/>
  <c r="AP68" i="5"/>
  <c r="CG68" i="5"/>
  <c r="CE68" i="5"/>
  <c r="BZ68" i="5"/>
  <c r="BU68" i="5"/>
  <c r="BP68" i="5"/>
  <c r="X68" i="5"/>
  <c r="AH68" i="5"/>
  <c r="DJ67" i="5"/>
  <c r="CO67" i="5"/>
  <c r="BO67" i="5"/>
  <c r="BT67" i="5"/>
  <c r="BY67" i="5"/>
  <c r="CD67" i="5"/>
  <c r="CF67" i="5"/>
  <c r="AP67" i="5"/>
  <c r="CG67" i="5"/>
  <c r="CE67" i="5"/>
  <c r="BZ67" i="5"/>
  <c r="BU67" i="5"/>
  <c r="BP67" i="5"/>
  <c r="AH67" i="5"/>
  <c r="DJ66" i="5"/>
  <c r="CO66" i="5"/>
  <c r="BO66" i="5"/>
  <c r="BT66" i="5"/>
  <c r="BY66" i="5"/>
  <c r="CD66" i="5"/>
  <c r="CF66" i="5"/>
  <c r="AP66" i="5"/>
  <c r="CG66" i="5"/>
  <c r="CE66" i="5"/>
  <c r="BZ66" i="5"/>
  <c r="BU66" i="5"/>
  <c r="BP66" i="5"/>
  <c r="AH66" i="5"/>
  <c r="DJ65" i="5"/>
  <c r="CO65" i="5"/>
  <c r="BO65" i="5"/>
  <c r="BT65" i="5"/>
  <c r="BY65" i="5"/>
  <c r="CD65" i="5"/>
  <c r="CF65" i="5"/>
  <c r="AP65" i="5"/>
  <c r="CG65" i="5"/>
  <c r="CE65" i="5"/>
  <c r="BZ65" i="5"/>
  <c r="BU65" i="5"/>
  <c r="BP65" i="5"/>
  <c r="X65" i="5"/>
  <c r="AH65" i="5"/>
  <c r="DJ64" i="5"/>
  <c r="CO64" i="5"/>
  <c r="BO64" i="5"/>
  <c r="BT64" i="5"/>
  <c r="BY64" i="5"/>
  <c r="CD64" i="5"/>
  <c r="CF64" i="5"/>
  <c r="AP64" i="5"/>
  <c r="CG64" i="5"/>
  <c r="CE64" i="5"/>
  <c r="BZ64" i="5"/>
  <c r="BU64" i="5"/>
  <c r="BP64" i="5"/>
  <c r="AH64" i="5"/>
  <c r="DJ63" i="5"/>
  <c r="CO63" i="5"/>
  <c r="BO63" i="5"/>
  <c r="BT63" i="5"/>
  <c r="BY63" i="5"/>
  <c r="CD63" i="5"/>
  <c r="CF63" i="5"/>
  <c r="AP63" i="5"/>
  <c r="CG63" i="5"/>
  <c r="CE63" i="5"/>
  <c r="BZ63" i="5"/>
  <c r="BU63" i="5"/>
  <c r="BP63" i="5"/>
  <c r="AH63" i="5"/>
  <c r="DJ62" i="5"/>
  <c r="CO62" i="5"/>
  <c r="BO62" i="5"/>
  <c r="BT62" i="5"/>
  <c r="BY62" i="5"/>
  <c r="CD62" i="5"/>
  <c r="CF62" i="5"/>
  <c r="AP62" i="5"/>
  <c r="CG62" i="5"/>
  <c r="CE62" i="5"/>
  <c r="BZ62" i="5"/>
  <c r="BU62" i="5"/>
  <c r="BP62" i="5"/>
  <c r="AH62" i="5"/>
  <c r="BO61" i="5"/>
  <c r="BT61" i="5"/>
  <c r="BY61" i="5"/>
  <c r="CD61" i="5"/>
  <c r="CF61" i="5"/>
  <c r="CE61" i="5"/>
  <c r="AP61" i="5"/>
  <c r="BZ61" i="5"/>
  <c r="BU61" i="5"/>
  <c r="BP61" i="5"/>
  <c r="BO60" i="5"/>
  <c r="BT60" i="5"/>
  <c r="BY60" i="5"/>
  <c r="CD60" i="5"/>
  <c r="CF60" i="5"/>
  <c r="CE60" i="5"/>
  <c r="AP60" i="5"/>
  <c r="BZ60" i="5"/>
  <c r="BU60" i="5"/>
  <c r="BP60" i="5"/>
  <c r="DJ59" i="5"/>
  <c r="CO59" i="5"/>
  <c r="BO59" i="5"/>
  <c r="BT59" i="5"/>
  <c r="BY59" i="5"/>
  <c r="CD59" i="5"/>
  <c r="CF59" i="5"/>
  <c r="AP59" i="5"/>
  <c r="CG59" i="5"/>
  <c r="CE59" i="5"/>
  <c r="BZ59" i="5"/>
  <c r="BU59" i="5"/>
  <c r="BP59" i="5"/>
  <c r="X59" i="5"/>
  <c r="AH59" i="5"/>
  <c r="AC59" i="5"/>
  <c r="DJ58" i="5"/>
  <c r="CO58" i="5"/>
  <c r="BO58" i="5"/>
  <c r="BT58" i="5"/>
  <c r="BY58" i="5"/>
  <c r="CD58" i="5"/>
  <c r="CF58" i="5"/>
  <c r="AP58" i="5"/>
  <c r="CG58" i="5"/>
  <c r="CE58" i="5"/>
  <c r="BZ58" i="5"/>
  <c r="BU58" i="5"/>
  <c r="BP58" i="5"/>
  <c r="AH58" i="5"/>
  <c r="DJ57" i="5"/>
  <c r="CO57" i="5"/>
  <c r="BO57" i="5"/>
  <c r="BT57" i="5"/>
  <c r="BY57" i="5"/>
  <c r="CD57" i="5"/>
  <c r="CF57" i="5"/>
  <c r="AP57" i="5"/>
  <c r="CG57" i="5"/>
  <c r="CE57" i="5"/>
  <c r="BZ57" i="5"/>
  <c r="BU57" i="5"/>
  <c r="BP57" i="5"/>
  <c r="AH57" i="5"/>
  <c r="DZ56" i="5"/>
  <c r="DJ56" i="5"/>
  <c r="CO56" i="5"/>
  <c r="BO56" i="5"/>
  <c r="BT56" i="5"/>
  <c r="BY56" i="5"/>
  <c r="CD56" i="5"/>
  <c r="CF56" i="5"/>
  <c r="CG56" i="5"/>
  <c r="CE56" i="5"/>
  <c r="BZ56" i="5"/>
  <c r="BU56" i="5"/>
  <c r="BP56" i="5"/>
  <c r="AH56" i="5"/>
  <c r="DJ55" i="5"/>
  <c r="CO55" i="5"/>
  <c r="BO55" i="5"/>
  <c r="BT55" i="5"/>
  <c r="BY55" i="5"/>
  <c r="CD55" i="5"/>
  <c r="CF55" i="5"/>
  <c r="AP55" i="5"/>
  <c r="CG55" i="5"/>
  <c r="CE55" i="5"/>
  <c r="BZ55" i="5"/>
  <c r="BU55" i="5"/>
  <c r="BP55" i="5"/>
  <c r="X55" i="5"/>
  <c r="AH55" i="5"/>
  <c r="DJ54" i="5"/>
  <c r="CO54" i="5"/>
  <c r="BO54" i="5"/>
  <c r="BT54" i="5"/>
  <c r="BY54" i="5"/>
  <c r="CD54" i="5"/>
  <c r="CF54" i="5"/>
  <c r="AP54" i="5"/>
  <c r="CG54" i="5"/>
  <c r="CE54" i="5"/>
  <c r="BZ54" i="5"/>
  <c r="BU54" i="5"/>
  <c r="BP54" i="5"/>
  <c r="AH54" i="5"/>
  <c r="DJ53" i="5"/>
  <c r="CO53" i="5"/>
  <c r="BO53" i="5"/>
  <c r="BT53" i="5"/>
  <c r="BY53" i="5"/>
  <c r="CD53" i="5"/>
  <c r="CF53" i="5"/>
  <c r="AP53" i="5"/>
  <c r="CG53" i="5"/>
  <c r="CE53" i="5"/>
  <c r="BZ53" i="5"/>
  <c r="BU53" i="5"/>
  <c r="BP53" i="5"/>
  <c r="AH53" i="5"/>
  <c r="DJ52" i="5"/>
  <c r="CO52" i="5"/>
  <c r="BO52" i="5"/>
  <c r="BT52" i="5"/>
  <c r="BY52" i="5"/>
  <c r="CD52" i="5"/>
  <c r="CF52" i="5"/>
  <c r="AP52" i="5"/>
  <c r="CG52" i="5"/>
  <c r="CE52" i="5"/>
  <c r="BZ52" i="5"/>
  <c r="BU52" i="5"/>
  <c r="BP52" i="5"/>
  <c r="AH52" i="5"/>
  <c r="DJ51" i="5"/>
  <c r="CO51" i="5"/>
  <c r="BO51" i="5"/>
  <c r="BT51" i="5"/>
  <c r="BY51" i="5"/>
  <c r="CD51" i="5"/>
  <c r="CF51" i="5"/>
  <c r="AP51" i="5"/>
  <c r="CG51" i="5"/>
  <c r="CE51" i="5"/>
  <c r="BZ51" i="5"/>
  <c r="BU51" i="5"/>
  <c r="BP51" i="5"/>
  <c r="AH51" i="5"/>
  <c r="DJ50" i="5"/>
  <c r="CO50" i="5"/>
  <c r="BO50" i="5"/>
  <c r="BT50" i="5"/>
  <c r="BY50" i="5"/>
  <c r="CD50" i="5"/>
  <c r="CF50" i="5"/>
  <c r="AP50" i="5"/>
  <c r="CG50" i="5"/>
  <c r="CE50" i="5"/>
  <c r="BZ50" i="5"/>
  <c r="BU50" i="5"/>
  <c r="BP50" i="5"/>
  <c r="X50" i="5"/>
  <c r="AH50" i="5"/>
  <c r="DZ49" i="5"/>
  <c r="DJ49" i="5"/>
  <c r="CO49" i="5"/>
  <c r="BY49" i="5"/>
  <c r="BT49" i="5"/>
  <c r="BO49" i="5"/>
  <c r="AP49" i="5"/>
  <c r="DJ48" i="5"/>
  <c r="CO48" i="5"/>
  <c r="BO48" i="5"/>
  <c r="BT48" i="5"/>
  <c r="BY48" i="5"/>
  <c r="CD48" i="5"/>
  <c r="CF48" i="5"/>
  <c r="AP48" i="5"/>
  <c r="CG48" i="5"/>
  <c r="CE48" i="5"/>
  <c r="BZ48" i="5"/>
  <c r="BU48" i="5"/>
  <c r="BP48" i="5"/>
  <c r="AH48" i="5"/>
  <c r="DJ47" i="5"/>
  <c r="CO47" i="5"/>
  <c r="BO47" i="5"/>
  <c r="BT47" i="5"/>
  <c r="BY47" i="5"/>
  <c r="CD47" i="5"/>
  <c r="CF47" i="5"/>
  <c r="AP47" i="5"/>
  <c r="CG47" i="5"/>
  <c r="CE47" i="5"/>
  <c r="BZ47" i="5"/>
  <c r="BU47" i="5"/>
  <c r="BP47" i="5"/>
  <c r="AH47" i="5"/>
  <c r="DJ46" i="5"/>
  <c r="CO46" i="5"/>
  <c r="BO46" i="5"/>
  <c r="BT46" i="5"/>
  <c r="BY46" i="5"/>
  <c r="CD46" i="5"/>
  <c r="CF46" i="5"/>
  <c r="AP46" i="5"/>
  <c r="CG46" i="5"/>
  <c r="CE46" i="5"/>
  <c r="BZ46" i="5"/>
  <c r="BU46" i="5"/>
  <c r="BP46" i="5"/>
  <c r="AH46" i="5"/>
  <c r="DJ45" i="5"/>
  <c r="CO45" i="5"/>
  <c r="BO45" i="5"/>
  <c r="BT45" i="5"/>
  <c r="BY45" i="5"/>
  <c r="CD45" i="5"/>
  <c r="CF45" i="5"/>
  <c r="AP45" i="5"/>
  <c r="CG45" i="5"/>
  <c r="CE45" i="5"/>
  <c r="BZ45" i="5"/>
  <c r="BU45" i="5"/>
  <c r="BP45" i="5"/>
  <c r="AH45" i="5"/>
  <c r="DJ44" i="5"/>
  <c r="CO44" i="5"/>
  <c r="BO44" i="5"/>
  <c r="BT44" i="5"/>
  <c r="BY44" i="5"/>
  <c r="CD44" i="5"/>
  <c r="CF44" i="5"/>
  <c r="AP44" i="5"/>
  <c r="CG44" i="5"/>
  <c r="CE44" i="5"/>
  <c r="BZ44" i="5"/>
  <c r="BU44" i="5"/>
  <c r="BP44" i="5"/>
  <c r="AH44" i="5"/>
  <c r="DJ43" i="5"/>
  <c r="CO43" i="5"/>
  <c r="BO43" i="5"/>
  <c r="BT43" i="5"/>
  <c r="BY43" i="5"/>
  <c r="CD43" i="5"/>
  <c r="CF43" i="5"/>
  <c r="AP43" i="5"/>
  <c r="CG43" i="5"/>
  <c r="CE43" i="5"/>
  <c r="BZ43" i="5"/>
  <c r="BU43" i="5"/>
  <c r="BP43" i="5"/>
  <c r="X43" i="5"/>
  <c r="AC43" i="5"/>
  <c r="AH43" i="5"/>
  <c r="DJ42" i="5"/>
  <c r="CO42" i="5"/>
  <c r="BO42" i="5"/>
  <c r="BT42" i="5"/>
  <c r="BY42" i="5"/>
  <c r="CD42" i="5"/>
  <c r="CF42" i="5"/>
  <c r="AP42" i="5"/>
  <c r="CG42" i="5"/>
  <c r="CE42" i="5"/>
  <c r="BZ42" i="5"/>
  <c r="BU42" i="5"/>
  <c r="BP42" i="5"/>
  <c r="X42" i="5"/>
  <c r="AH42" i="5"/>
  <c r="DJ41" i="5"/>
  <c r="CO41" i="5"/>
  <c r="BO41" i="5"/>
  <c r="BT41" i="5"/>
  <c r="BY41" i="5"/>
  <c r="CD41" i="5"/>
  <c r="CF41" i="5"/>
  <c r="AP41" i="5"/>
  <c r="CG41" i="5"/>
  <c r="CE41" i="5"/>
  <c r="BZ41" i="5"/>
  <c r="BU41" i="5"/>
  <c r="BP41" i="5"/>
  <c r="AH41" i="5"/>
  <c r="DJ40" i="5"/>
  <c r="CO40" i="5"/>
  <c r="BO40" i="5"/>
  <c r="BT40" i="5"/>
  <c r="BY40" i="5"/>
  <c r="CD40" i="5"/>
  <c r="CF40" i="5"/>
  <c r="AP40" i="5"/>
  <c r="CG40" i="5"/>
  <c r="CE40" i="5"/>
  <c r="BZ40" i="5"/>
  <c r="BU40" i="5"/>
  <c r="BP40" i="5"/>
  <c r="X40" i="5"/>
  <c r="AH40" i="5"/>
  <c r="DV39" i="5"/>
  <c r="DJ39" i="5"/>
  <c r="CO39" i="5"/>
  <c r="BO39" i="5"/>
  <c r="BT39" i="5"/>
  <c r="BY39" i="5"/>
  <c r="CD39" i="5"/>
  <c r="CF39" i="5"/>
  <c r="AP39" i="5"/>
  <c r="CG39" i="5"/>
  <c r="CE39" i="5"/>
  <c r="BZ39" i="5"/>
  <c r="BU39" i="5"/>
  <c r="BP39" i="5"/>
  <c r="AH39" i="5"/>
  <c r="DJ38" i="5"/>
  <c r="CO38" i="5"/>
  <c r="BO38" i="5"/>
  <c r="BT38" i="5"/>
  <c r="BY38" i="5"/>
  <c r="CD38" i="5"/>
  <c r="CF38" i="5"/>
  <c r="AP38" i="5"/>
  <c r="CG38" i="5"/>
  <c r="CE38" i="5"/>
  <c r="BZ38" i="5"/>
  <c r="BU38" i="5"/>
  <c r="BP38" i="5"/>
  <c r="AH38" i="5"/>
  <c r="DJ37" i="5"/>
  <c r="CO37" i="5"/>
  <c r="BO37" i="5"/>
  <c r="BT37" i="5"/>
  <c r="BY37" i="5"/>
  <c r="CD37" i="5"/>
  <c r="CF37" i="5"/>
  <c r="AP37" i="5"/>
  <c r="CG37" i="5"/>
  <c r="CE37" i="5"/>
  <c r="BZ37" i="5"/>
  <c r="BU37" i="5"/>
  <c r="BP37" i="5"/>
  <c r="AH37" i="5"/>
  <c r="DJ36" i="5"/>
  <c r="CO36" i="5"/>
  <c r="BO36" i="5"/>
  <c r="BT36" i="5"/>
  <c r="BY36" i="5"/>
  <c r="CD36" i="5"/>
  <c r="CF36" i="5"/>
  <c r="AP36" i="5"/>
  <c r="CG36" i="5"/>
  <c r="CE36" i="5"/>
  <c r="BZ36" i="5"/>
  <c r="BU36" i="5"/>
  <c r="BP36" i="5"/>
  <c r="AH36" i="5"/>
  <c r="DJ35" i="5"/>
  <c r="CO35" i="5"/>
  <c r="BO35" i="5"/>
  <c r="BT35" i="5"/>
  <c r="BY35" i="5"/>
  <c r="CD35" i="5"/>
  <c r="CF35" i="5"/>
  <c r="AP35" i="5"/>
  <c r="CG35" i="5"/>
  <c r="CE35" i="5"/>
  <c r="BZ35" i="5"/>
  <c r="BU35" i="5"/>
  <c r="BP35" i="5"/>
  <c r="AH35" i="5"/>
  <c r="DJ34" i="5"/>
  <c r="CO34" i="5"/>
  <c r="BO34" i="5"/>
  <c r="BT34" i="5"/>
  <c r="BY34" i="5"/>
  <c r="CD34" i="5"/>
  <c r="CF34" i="5"/>
  <c r="AP34" i="5"/>
  <c r="CG34" i="5"/>
  <c r="CE34" i="5"/>
  <c r="BZ34" i="5"/>
  <c r="BU34" i="5"/>
  <c r="BP34" i="5"/>
  <c r="AH34" i="5"/>
  <c r="DJ33" i="5"/>
  <c r="CO33" i="5"/>
  <c r="BO33" i="5"/>
  <c r="BT33" i="5"/>
  <c r="BY33" i="5"/>
  <c r="CD33" i="5"/>
  <c r="CF33" i="5"/>
  <c r="AP33" i="5"/>
  <c r="CG33" i="5"/>
  <c r="CE33" i="5"/>
  <c r="BZ33" i="5"/>
  <c r="BU33" i="5"/>
  <c r="BP33" i="5"/>
  <c r="X33" i="5"/>
  <c r="AC33" i="5"/>
  <c r="AH33" i="5"/>
  <c r="DJ32" i="5"/>
  <c r="CO32" i="5"/>
  <c r="BO32" i="5"/>
  <c r="BT32" i="5"/>
  <c r="BY32" i="5"/>
  <c r="CD32" i="5"/>
  <c r="CF32" i="5"/>
  <c r="AP32" i="5"/>
  <c r="CG32" i="5"/>
  <c r="CE32" i="5"/>
  <c r="BZ32" i="5"/>
  <c r="BU32" i="5"/>
  <c r="BP32" i="5"/>
  <c r="X32" i="5"/>
  <c r="AH32" i="5"/>
  <c r="DJ31" i="5"/>
  <c r="CO31" i="5"/>
  <c r="BO31" i="5"/>
  <c r="BT31" i="5"/>
  <c r="BY31" i="5"/>
  <c r="CD31" i="5"/>
  <c r="CF31" i="5"/>
  <c r="AP31" i="5"/>
  <c r="CG31" i="5"/>
  <c r="CE31" i="5"/>
  <c r="BZ31" i="5"/>
  <c r="BU31" i="5"/>
  <c r="BP31" i="5"/>
  <c r="X31" i="5"/>
  <c r="AH31" i="5"/>
  <c r="DJ30" i="5"/>
  <c r="CO30" i="5"/>
  <c r="BO30" i="5"/>
  <c r="BT30" i="5"/>
  <c r="BY30" i="5"/>
  <c r="CD30" i="5"/>
  <c r="CF30" i="5"/>
  <c r="CG30" i="5"/>
  <c r="CE30" i="5"/>
  <c r="BZ30" i="5"/>
  <c r="BU30" i="5"/>
  <c r="BP30" i="5"/>
  <c r="X30" i="5"/>
  <c r="AH30" i="5"/>
  <c r="DJ29" i="5"/>
  <c r="CO29" i="5"/>
  <c r="BO29" i="5"/>
  <c r="BT29" i="5"/>
  <c r="BY29" i="5"/>
  <c r="CD29" i="5"/>
  <c r="CF29" i="5"/>
  <c r="AP29" i="5"/>
  <c r="CG29" i="5"/>
  <c r="CE29" i="5"/>
  <c r="BZ29" i="5"/>
  <c r="BU29" i="5"/>
  <c r="BP29" i="5"/>
  <c r="DJ28" i="5"/>
  <c r="CO28" i="5"/>
  <c r="BO28" i="5"/>
  <c r="BT28" i="5"/>
  <c r="BY28" i="5"/>
  <c r="CD28" i="5"/>
  <c r="CF28" i="5"/>
  <c r="AP28" i="5"/>
  <c r="CG28" i="5"/>
  <c r="CE28" i="5"/>
  <c r="BZ28" i="5"/>
  <c r="BU28" i="5"/>
  <c r="BP28" i="5"/>
  <c r="DJ27" i="5"/>
  <c r="CO27" i="5"/>
  <c r="BO27" i="5"/>
  <c r="BT27" i="5"/>
  <c r="BY27" i="5"/>
  <c r="CD27" i="5"/>
  <c r="CF27" i="5"/>
  <c r="AP27" i="5"/>
  <c r="CG27" i="5"/>
  <c r="CE27" i="5"/>
  <c r="BZ27" i="5"/>
  <c r="BU27" i="5"/>
  <c r="BP27" i="5"/>
  <c r="DJ26" i="5"/>
  <c r="CO26" i="5"/>
  <c r="BO26" i="5"/>
  <c r="BT26" i="5"/>
  <c r="BY26" i="5"/>
  <c r="CD26" i="5"/>
  <c r="CF26" i="5"/>
  <c r="AP26" i="5"/>
  <c r="CG26" i="5"/>
  <c r="CE26" i="5"/>
  <c r="BZ26" i="5"/>
  <c r="BU26" i="5"/>
  <c r="BP26" i="5"/>
  <c r="X26" i="5"/>
  <c r="AH26" i="5"/>
  <c r="DJ25" i="5"/>
  <c r="CO25" i="5"/>
  <c r="BO25" i="5"/>
  <c r="BT25" i="5"/>
  <c r="BY25" i="5"/>
  <c r="CD25" i="5"/>
  <c r="CF25" i="5"/>
  <c r="AP25" i="5"/>
  <c r="CG25" i="5"/>
  <c r="CE25" i="5"/>
  <c r="BZ25" i="5"/>
  <c r="BU25" i="5"/>
  <c r="BP25" i="5"/>
  <c r="DJ24" i="5"/>
  <c r="CO24" i="5"/>
  <c r="BO24" i="5"/>
  <c r="BT24" i="5"/>
  <c r="BY24" i="5"/>
  <c r="CD24" i="5"/>
  <c r="CF24" i="5"/>
  <c r="AP24" i="5"/>
  <c r="CG24" i="5"/>
  <c r="CE24" i="5"/>
  <c r="BZ24" i="5"/>
  <c r="BU24" i="5"/>
  <c r="BP24" i="5"/>
  <c r="DJ23" i="5"/>
  <c r="CO23" i="5"/>
  <c r="BO23" i="5"/>
  <c r="BT23" i="5"/>
  <c r="BY23" i="5"/>
  <c r="CD23" i="5"/>
  <c r="CF23" i="5"/>
  <c r="AP23" i="5"/>
  <c r="CG23" i="5"/>
  <c r="CE23" i="5"/>
  <c r="BZ23" i="5"/>
  <c r="BU23" i="5"/>
  <c r="BP23" i="5"/>
  <c r="DJ22" i="5"/>
  <c r="CO22" i="5"/>
  <c r="BO22" i="5"/>
  <c r="BT22" i="5"/>
  <c r="BY22" i="5"/>
  <c r="CD22" i="5"/>
  <c r="CF22" i="5"/>
  <c r="AP22" i="5"/>
  <c r="CG22" i="5"/>
  <c r="CE22" i="5"/>
  <c r="BZ22" i="5"/>
  <c r="BU22" i="5"/>
  <c r="BP22" i="5"/>
  <c r="DJ21" i="5"/>
  <c r="CO21" i="5"/>
  <c r="BO21" i="5"/>
  <c r="BT21" i="5"/>
  <c r="BY21" i="5"/>
  <c r="CD21" i="5"/>
  <c r="CF21" i="5"/>
  <c r="AP21" i="5"/>
  <c r="CG21" i="5"/>
  <c r="CE21" i="5"/>
  <c r="BZ21" i="5"/>
  <c r="BU21" i="5"/>
  <c r="BP21" i="5"/>
  <c r="X21" i="5"/>
  <c r="AH21" i="5"/>
  <c r="DJ20" i="5"/>
  <c r="CO20" i="5"/>
  <c r="BO20" i="5"/>
  <c r="BT20" i="5"/>
  <c r="BY20" i="5"/>
  <c r="CD20" i="5"/>
  <c r="CF20" i="5"/>
  <c r="AP20" i="5"/>
  <c r="CG20" i="5"/>
  <c r="CE20" i="5"/>
  <c r="BZ20" i="5"/>
  <c r="BU20" i="5"/>
  <c r="BP20" i="5"/>
  <c r="DJ19" i="5"/>
  <c r="CO19" i="5"/>
  <c r="BO19" i="5"/>
  <c r="BT19" i="5"/>
  <c r="BY19" i="5"/>
  <c r="CD19" i="5"/>
  <c r="CF19" i="5"/>
  <c r="CG19" i="5"/>
  <c r="CE19" i="5"/>
  <c r="BZ19" i="5"/>
  <c r="BU19" i="5"/>
  <c r="BP19" i="5"/>
  <c r="X19" i="5"/>
  <c r="AH19" i="5"/>
  <c r="DJ18" i="5"/>
  <c r="CO18" i="5"/>
  <c r="BO18" i="5"/>
  <c r="BT18" i="5"/>
  <c r="BY18" i="5"/>
  <c r="CD18" i="5"/>
  <c r="CF18" i="5"/>
  <c r="AP18" i="5"/>
  <c r="CG18" i="5"/>
  <c r="CE18" i="5"/>
  <c r="BZ18" i="5"/>
  <c r="BU18" i="5"/>
  <c r="BP18" i="5"/>
  <c r="X18" i="5"/>
  <c r="DJ17" i="5"/>
  <c r="CO17" i="5"/>
  <c r="BO17" i="5"/>
  <c r="BT17" i="5"/>
  <c r="BY17" i="5"/>
  <c r="CD17" i="5"/>
  <c r="CF17" i="5"/>
  <c r="AP17" i="5"/>
  <c r="CG17" i="5"/>
  <c r="CE17" i="5"/>
  <c r="BZ17" i="5"/>
  <c r="BU17" i="5"/>
  <c r="BP17" i="5"/>
  <c r="X17" i="5"/>
  <c r="DJ16" i="5"/>
  <c r="CO16" i="5"/>
  <c r="BO16" i="5"/>
  <c r="BT16" i="5"/>
  <c r="BY16" i="5"/>
  <c r="CD16" i="5"/>
  <c r="CF16" i="5"/>
  <c r="AP16" i="5"/>
  <c r="CG16" i="5"/>
  <c r="CE16" i="5"/>
  <c r="BZ16" i="5"/>
  <c r="BU16" i="5"/>
  <c r="BP16" i="5"/>
  <c r="X16" i="5"/>
  <c r="DJ15" i="5"/>
  <c r="CO15" i="5"/>
  <c r="BO15" i="5"/>
  <c r="BT15" i="5"/>
  <c r="BY15" i="5"/>
  <c r="CD15" i="5"/>
  <c r="CF15" i="5"/>
  <c r="AP15" i="5"/>
  <c r="CG15" i="5"/>
  <c r="CE15" i="5"/>
  <c r="BZ15" i="5"/>
  <c r="BU15" i="5"/>
  <c r="BP15" i="5"/>
  <c r="X15" i="5"/>
  <c r="AH15" i="5"/>
  <c r="DJ14" i="5"/>
  <c r="CO14" i="5"/>
  <c r="BO14" i="5"/>
  <c r="BT14" i="5"/>
  <c r="BY14" i="5"/>
  <c r="CD14" i="5"/>
  <c r="CF14" i="5"/>
  <c r="CG14" i="5"/>
  <c r="CE14" i="5"/>
  <c r="BZ14" i="5"/>
  <c r="BU14" i="5"/>
  <c r="BP14" i="5"/>
  <c r="X14" i="5"/>
  <c r="AH14" i="5"/>
  <c r="DZ13" i="5"/>
  <c r="DJ13" i="5"/>
  <c r="CO13" i="5"/>
  <c r="BO13" i="5"/>
  <c r="BT13" i="5"/>
  <c r="BY13" i="5"/>
  <c r="CD13" i="5"/>
  <c r="CF13" i="5"/>
  <c r="CG13" i="5"/>
  <c r="CE13" i="5"/>
  <c r="BZ13" i="5"/>
  <c r="BU13" i="5"/>
  <c r="BP13" i="5"/>
  <c r="Z13" i="5"/>
  <c r="AH13" i="5"/>
  <c r="DZ12" i="5"/>
  <c r="DJ12" i="5"/>
  <c r="CO12" i="5"/>
  <c r="BO12" i="5"/>
  <c r="BT12" i="5"/>
  <c r="BY12" i="5"/>
  <c r="CD12" i="5"/>
  <c r="CF12" i="5"/>
  <c r="CG12" i="5"/>
  <c r="CE12" i="5"/>
  <c r="BZ12" i="5"/>
  <c r="BU12" i="5"/>
  <c r="BP12" i="5"/>
  <c r="Z12" i="5"/>
  <c r="AH12" i="5"/>
  <c r="DJ11" i="5"/>
  <c r="CO11" i="5"/>
  <c r="BO11" i="5"/>
  <c r="BT11" i="5"/>
  <c r="BY11" i="5"/>
  <c r="CD11" i="5"/>
  <c r="CF11" i="5"/>
  <c r="AP11" i="5"/>
  <c r="CG11" i="5"/>
  <c r="CE11" i="5"/>
  <c r="BZ11" i="5"/>
  <c r="BU11" i="5"/>
  <c r="BP11" i="5"/>
  <c r="X11" i="5"/>
  <c r="AH11" i="5"/>
  <c r="DJ10" i="5"/>
  <c r="CO10" i="5"/>
  <c r="BO10" i="5"/>
  <c r="BT10" i="5"/>
  <c r="BY10" i="5"/>
  <c r="CD10" i="5"/>
  <c r="CF10" i="5"/>
  <c r="CG10" i="5"/>
  <c r="CE10" i="5"/>
  <c r="BZ10" i="5"/>
  <c r="BU10" i="5"/>
  <c r="BP10" i="5"/>
  <c r="X10" i="5"/>
  <c r="AH10" i="5"/>
  <c r="BO9" i="5"/>
  <c r="BT9" i="5"/>
  <c r="BY9" i="5"/>
  <c r="CD9" i="5"/>
  <c r="CF9" i="5"/>
  <c r="CE9" i="5"/>
  <c r="BZ9" i="5"/>
  <c r="BU9" i="5"/>
  <c r="BP9" i="5"/>
  <c r="DJ8" i="5"/>
  <c r="CO8" i="5"/>
  <c r="BO8" i="5"/>
  <c r="BT8" i="5"/>
  <c r="BY8" i="5"/>
  <c r="CD8" i="5"/>
  <c r="CF8" i="5"/>
  <c r="AP8" i="5"/>
  <c r="CG8" i="5"/>
  <c r="CE8" i="5"/>
  <c r="BZ8" i="5"/>
  <c r="BU8" i="5"/>
  <c r="BP8" i="5"/>
  <c r="AE8" i="5"/>
  <c r="AH8" i="5"/>
  <c r="DJ7" i="5"/>
  <c r="CO7" i="5"/>
  <c r="BO7" i="5"/>
  <c r="BT7" i="5"/>
  <c r="BY7" i="5"/>
  <c r="CD7" i="5"/>
  <c r="CF7" i="5"/>
  <c r="AP7" i="5"/>
  <c r="CG7" i="5"/>
  <c r="CE7" i="5"/>
  <c r="BZ7" i="5"/>
  <c r="BU7" i="5"/>
  <c r="BP7" i="5"/>
  <c r="AC7" i="5"/>
  <c r="AH7" i="5"/>
  <c r="DJ6" i="5"/>
  <c r="CO6" i="5"/>
  <c r="BO6" i="5"/>
  <c r="BT6" i="5"/>
  <c r="BY6" i="5"/>
  <c r="CD6" i="5"/>
  <c r="CF6" i="5"/>
  <c r="AP6" i="5"/>
  <c r="CG6" i="5"/>
  <c r="CE6" i="5"/>
  <c r="BZ6" i="5"/>
  <c r="BU6" i="5"/>
  <c r="BP6" i="5"/>
  <c r="AC6" i="5"/>
  <c r="AH6" i="5"/>
  <c r="DJ5" i="5"/>
  <c r="CO5" i="5"/>
  <c r="BO5" i="5"/>
  <c r="BT5" i="5"/>
  <c r="BY5" i="5"/>
  <c r="CD5" i="5"/>
  <c r="CF5" i="5"/>
  <c r="AP5" i="5"/>
  <c r="CG5" i="5"/>
  <c r="CE5" i="5"/>
  <c r="BZ5" i="5"/>
  <c r="BU5" i="5"/>
  <c r="BP5" i="5"/>
  <c r="AD5" i="5"/>
  <c r="AH5" i="5"/>
  <c r="DJ4" i="5"/>
  <c r="CO4" i="5"/>
  <c r="BO4" i="5"/>
  <c r="BT4" i="5"/>
  <c r="BY4" i="5"/>
  <c r="CD4" i="5"/>
  <c r="CF4" i="5"/>
  <c r="AP4" i="5"/>
  <c r="CG4" i="5"/>
  <c r="CE4" i="5"/>
  <c r="BZ4" i="5"/>
  <c r="BU4" i="5"/>
  <c r="BP4" i="5"/>
  <c r="AC4" i="5"/>
  <c r="AH4" i="5"/>
  <c r="DJ3" i="5"/>
  <c r="CO3" i="5"/>
  <c r="BO3" i="5"/>
  <c r="BT3" i="5"/>
  <c r="BY3" i="5"/>
  <c r="CD3" i="5"/>
  <c r="CF3" i="5"/>
  <c r="AP3" i="5"/>
  <c r="CG3" i="5"/>
  <c r="CE3" i="5"/>
  <c r="BZ3" i="5"/>
  <c r="BU3" i="5"/>
  <c r="BP3" i="5"/>
  <c r="AB3" i="5"/>
  <c r="AH3" i="5"/>
  <c r="DJ2" i="5"/>
  <c r="CO2" i="5"/>
  <c r="BO2" i="5"/>
  <c r="BT2" i="5"/>
  <c r="BY2" i="5"/>
  <c r="CD2" i="5"/>
  <c r="CF2" i="5"/>
  <c r="AP2" i="5"/>
  <c r="CG2" i="5"/>
  <c r="CE2" i="5"/>
  <c r="BZ2" i="5"/>
  <c r="BU2" i="5"/>
  <c r="BP2" i="5"/>
  <c r="X2" i="5"/>
  <c r="AH2" i="5"/>
  <c r="BJ51" i="4"/>
  <c r="AN45" i="4"/>
  <c r="AO45" i="4"/>
  <c r="AP45" i="4"/>
  <c r="AQ45" i="4"/>
  <c r="AR45" i="4"/>
  <c r="AS45" i="4"/>
  <c r="AT7" i="4"/>
  <c r="AT10" i="4"/>
  <c r="AT11" i="4"/>
  <c r="AT13" i="4"/>
  <c r="AT14" i="4"/>
  <c r="AT15" i="4"/>
  <c r="AT16" i="4"/>
  <c r="AT17" i="4"/>
  <c r="AT19" i="4"/>
  <c r="AT20" i="4"/>
  <c r="AT21" i="4"/>
  <c r="AT23" i="4"/>
  <c r="AT24" i="4"/>
  <c r="AT25" i="4"/>
  <c r="AT26" i="4"/>
  <c r="AT27" i="4"/>
  <c r="AT28" i="4"/>
  <c r="AT29" i="4"/>
  <c r="AT31" i="4"/>
  <c r="AT32" i="4"/>
  <c r="AT33" i="4"/>
  <c r="AT34" i="4"/>
  <c r="AT35" i="4"/>
  <c r="AT45" i="4"/>
  <c r="AU33" i="4"/>
  <c r="AU45" i="4"/>
  <c r="AV45" i="4"/>
  <c r="AW12" i="4"/>
  <c r="AW33" i="4"/>
  <c r="AW39" i="4"/>
  <c r="AW42" i="4"/>
  <c r="AW45" i="4"/>
  <c r="AX45" i="4"/>
  <c r="AY7" i="4"/>
  <c r="AY8" i="4"/>
  <c r="AY28" i="4"/>
  <c r="AY32" i="4"/>
  <c r="AY37" i="4"/>
  <c r="AY38" i="4"/>
  <c r="AY40" i="4"/>
  <c r="AY41" i="4"/>
  <c r="AY42" i="4"/>
  <c r="AY45" i="4"/>
  <c r="AZ45" i="4"/>
  <c r="BA45" i="4"/>
  <c r="BB45" i="4"/>
  <c r="BC45" i="4"/>
  <c r="BD45" i="4"/>
  <c r="BE45" i="4"/>
  <c r="BF45" i="4"/>
  <c r="BG45" i="4"/>
  <c r="BH45" i="4"/>
  <c r="BI45" i="4"/>
  <c r="BJ45" i="4"/>
  <c r="BL49" i="4"/>
  <c r="BJ48" i="4"/>
  <c r="BJ49" i="4"/>
  <c r="BI49" i="4"/>
  <c r="BH49" i="4"/>
  <c r="BG49" i="4"/>
  <c r="BF49" i="4"/>
  <c r="BE49" i="4"/>
  <c r="BD49" i="4"/>
  <c r="BC49" i="4"/>
  <c r="BB49" i="4"/>
  <c r="BA49" i="4"/>
  <c r="AZ49" i="4"/>
  <c r="AY49" i="4"/>
  <c r="AX49" i="4"/>
  <c r="AW49" i="4"/>
  <c r="AV49" i="4"/>
  <c r="AU49" i="4"/>
  <c r="AT49" i="4"/>
  <c r="AS49" i="4"/>
  <c r="AR49" i="4"/>
  <c r="AQ49" i="4"/>
  <c r="AP49" i="4"/>
  <c r="AO49" i="4"/>
  <c r="AN49" i="4"/>
  <c r="BK47" i="4"/>
  <c r="BN46" i="4"/>
  <c r="BJ7" i="4"/>
  <c r="BJ8" i="4"/>
  <c r="BJ9" i="4"/>
  <c r="BJ10" i="4"/>
  <c r="BJ11" i="4"/>
  <c r="BJ12" i="4"/>
  <c r="BJ13" i="4"/>
  <c r="BJ14" i="4"/>
  <c r="BJ15" i="4"/>
  <c r="BJ16" i="4"/>
  <c r="BJ17" i="4"/>
  <c r="BJ18" i="4"/>
  <c r="BJ19" i="4"/>
  <c r="BJ20" i="4"/>
  <c r="BJ21" i="4"/>
  <c r="BJ22" i="4"/>
  <c r="BJ23" i="4"/>
  <c r="BJ24" i="4"/>
  <c r="BJ25" i="4"/>
  <c r="BJ26" i="4"/>
  <c r="BJ27" i="4"/>
  <c r="BJ28" i="4"/>
  <c r="BJ29" i="4"/>
  <c r="BJ30" i="4"/>
  <c r="BJ31" i="4"/>
  <c r="BJ32" i="4"/>
  <c r="BJ33" i="4"/>
  <c r="BJ34" i="4"/>
  <c r="BJ35" i="4"/>
  <c r="BJ36" i="4"/>
  <c r="BJ37" i="4"/>
  <c r="BJ38" i="4"/>
  <c r="BJ39" i="4"/>
  <c r="BJ40" i="4"/>
  <c r="BJ41" i="4"/>
  <c r="BJ42" i="4"/>
  <c r="BJ43" i="4"/>
  <c r="BJ44" i="4"/>
  <c r="BL44" i="4"/>
  <c r="P102" i="3"/>
  <c r="AC56" i="3"/>
  <c r="P107" i="3"/>
  <c r="P54" i="3"/>
  <c r="P55" i="3"/>
  <c r="P56" i="3"/>
  <c r="P57" i="3"/>
  <c r="P58" i="3"/>
  <c r="P59" i="3"/>
  <c r="P60" i="3"/>
  <c r="P61" i="3"/>
  <c r="P62" i="3"/>
  <c r="P63" i="3"/>
  <c r="P64" i="3"/>
  <c r="P65" i="3"/>
  <c r="P66" i="3"/>
  <c r="P67" i="3"/>
  <c r="P68" i="3"/>
  <c r="P69" i="3"/>
  <c r="P70" i="3"/>
  <c r="P71" i="3"/>
  <c r="P72" i="3"/>
  <c r="P73" i="3"/>
  <c r="P74" i="3"/>
  <c r="P75" i="3"/>
  <c r="P76" i="3"/>
  <c r="P77" i="3"/>
  <c r="P78" i="3"/>
  <c r="P79" i="3"/>
  <c r="P80" i="3"/>
  <c r="P81" i="3"/>
  <c r="P103" i="3"/>
  <c r="P104" i="3"/>
  <c r="P106" i="3"/>
  <c r="P108" i="3"/>
  <c r="P53" i="3"/>
  <c r="P52" i="3"/>
  <c r="P51" i="3"/>
  <c r="P17" i="3"/>
  <c r="P11" i="3"/>
  <c r="P12" i="3"/>
  <c r="P13" i="3"/>
  <c r="P19" i="3"/>
  <c r="P20" i="3"/>
  <c r="P21" i="3"/>
  <c r="P22" i="3"/>
  <c r="P23" i="3"/>
  <c r="P24" i="3"/>
  <c r="P25" i="3"/>
  <c r="P26" i="3"/>
  <c r="P27" i="3"/>
  <c r="P29" i="3"/>
  <c r="P31" i="3"/>
  <c r="P32" i="3"/>
  <c r="P33" i="3"/>
  <c r="P34" i="3"/>
  <c r="P35" i="3"/>
  <c r="P36" i="3"/>
  <c r="P37" i="3"/>
  <c r="P38" i="3"/>
  <c r="P39" i="3"/>
  <c r="P40" i="3"/>
  <c r="P41" i="3"/>
  <c r="P42" i="3"/>
  <c r="P43" i="3"/>
  <c r="P44" i="3"/>
  <c r="P45" i="3"/>
  <c r="P46" i="3"/>
  <c r="P47" i="3"/>
  <c r="P48" i="3"/>
  <c r="P49" i="3"/>
  <c r="P50" i="3"/>
  <c r="P16" i="3"/>
  <c r="P10" i="3"/>
  <c r="AV6" i="3"/>
  <c r="AW6" i="3"/>
  <c r="AX6" i="3"/>
  <c r="AY6" i="3"/>
  <c r="AZ6" i="3"/>
  <c r="BA6" i="3"/>
  <c r="BB6" i="3"/>
  <c r="BC6" i="3"/>
  <c r="BD6" i="3"/>
  <c r="BE6" i="3"/>
  <c r="BF6" i="3"/>
  <c r="BG6" i="3"/>
  <c r="BH6" i="3"/>
  <c r="BI6" i="3"/>
  <c r="BJ6" i="3"/>
  <c r="AU6" i="3"/>
  <c r="AD6" i="3"/>
  <c r="K19" i="3"/>
  <c r="BK6" i="3"/>
</calcChain>
</file>

<file path=xl/comments1.xml><?xml version="1.0" encoding="utf-8"?>
<comments xmlns="http://schemas.openxmlformats.org/spreadsheetml/2006/main">
  <authors>
    <author>NATALIA</author>
    <author>USUARIO</author>
    <author>Elpidia</author>
    <author>Paola Andrea Calderón Abadía</author>
  </authors>
  <commentList>
    <comment ref="S9" authorId="0" shapeId="0">
      <text>
        <r>
          <rPr>
            <b/>
            <sz val="9"/>
            <color indexed="81"/>
            <rFont val="Tahoma"/>
            <family val="2"/>
          </rPr>
          <t>NATALIA:</t>
        </r>
        <r>
          <rPr>
            <sz val="9"/>
            <color indexed="81"/>
            <rFont val="Tahoma"/>
            <family val="2"/>
          </rPr>
          <t xml:space="preserve">
Ejemplo:
número</t>
        </r>
      </text>
    </comment>
    <comment ref="T9" authorId="0" shapeId="0">
      <text>
        <r>
          <rPr>
            <b/>
            <sz val="9"/>
            <color indexed="81"/>
            <rFont val="Tahoma"/>
            <family val="2"/>
          </rPr>
          <t>NATALIA:</t>
        </r>
        <r>
          <rPr>
            <sz val="9"/>
            <color indexed="81"/>
            <rFont val="Tahoma"/>
            <family val="2"/>
          </rPr>
          <t xml:space="preserve">
Ejemplo:
Informes, personas capacitadas</t>
        </r>
      </text>
    </comment>
    <comment ref="AE10" authorId="1" shapeId="0">
      <text>
        <r>
          <rPr>
            <b/>
            <sz val="9"/>
            <color indexed="81"/>
            <rFont val="Tahoma"/>
            <family val="2"/>
          </rPr>
          <t>USUARIO:</t>
        </r>
        <r>
          <rPr>
            <sz val="9"/>
            <color indexed="81"/>
            <rFont val="Tahoma"/>
            <family val="2"/>
          </rPr>
          <t xml:space="preserve">
SGP Salud Regimen Subsidiado </t>
        </r>
      </text>
    </comment>
    <comment ref="AS27" authorId="2" shapeId="0">
      <text>
        <r>
          <rPr>
            <b/>
            <sz val="9"/>
            <color indexed="81"/>
            <rFont val="Tahoma"/>
            <family val="2"/>
          </rPr>
          <t>Elpidia:</t>
        </r>
        <r>
          <rPr>
            <sz val="9"/>
            <color indexed="81"/>
            <rFont val="Tahoma"/>
            <family val="2"/>
          </rPr>
          <t xml:space="preserve">
CENTRO BTAR ANIMAL
</t>
        </r>
      </text>
    </comment>
    <comment ref="Q57" authorId="3" shapeId="0">
      <text>
        <r>
          <rPr>
            <b/>
            <sz val="10"/>
            <color indexed="81"/>
            <rFont val="Tahoma"/>
            <family val="2"/>
          </rPr>
          <t>brigadas</t>
        </r>
        <r>
          <rPr>
            <sz val="10"/>
            <color indexed="81"/>
            <rFont val="Tahoma"/>
            <family val="2"/>
          </rPr>
          <t xml:space="preserve">
</t>
        </r>
      </text>
    </comment>
  </commentList>
</comments>
</file>

<file path=xl/comments2.xml><?xml version="1.0" encoding="utf-8"?>
<comments xmlns="http://schemas.openxmlformats.org/spreadsheetml/2006/main">
  <authors>
    <author>USUARIO</author>
    <author>teso</author>
    <author>Autor</author>
    <author>Usuario de Microsoft Office</author>
  </authors>
  <commentList>
    <comment ref="AT7" authorId="0" shapeId="0">
      <text>
        <r>
          <rPr>
            <b/>
            <sz val="9"/>
            <color indexed="81"/>
            <rFont val="Tahoma"/>
            <family val="2"/>
          </rPr>
          <t>USUARIO:</t>
        </r>
        <r>
          <rPr>
            <sz val="9"/>
            <color indexed="81"/>
            <rFont val="Tahoma"/>
            <family val="2"/>
          </rPr>
          <t xml:space="preserve">
SGP Salud Regimen Subsidiado </t>
        </r>
      </text>
    </comment>
    <comment ref="BI7" authorId="1" shapeId="0">
      <text>
        <r>
          <rPr>
            <b/>
            <sz val="9"/>
            <color indexed="81"/>
            <rFont val="Tahoma"/>
            <family val="2"/>
          </rPr>
          <t>teso:</t>
        </r>
        <r>
          <rPr>
            <sz val="9"/>
            <color indexed="81"/>
            <rFont val="Tahoma"/>
            <family val="2"/>
          </rPr>
          <t xml:space="preserve">
Desahorro Fonpet
</t>
        </r>
      </text>
    </comment>
    <comment ref="BI12" authorId="2" shapeId="0">
      <text>
        <r>
          <rPr>
            <b/>
            <sz val="9"/>
            <color rgb="FF000000"/>
            <rFont val="Tahoma"/>
            <family val="2"/>
          </rPr>
          <t>Autor:</t>
        </r>
        <r>
          <rPr>
            <sz val="9"/>
            <color rgb="FF000000"/>
            <rFont val="Tahoma"/>
            <family val="2"/>
          </rPr>
          <t xml:space="preserve">
RP. RIFAS (porcentaje 14% ingreso bruto)</t>
        </r>
      </text>
    </comment>
    <comment ref="U31" authorId="0" shapeId="0">
      <text>
        <r>
          <rPr>
            <b/>
            <sz val="9"/>
            <color indexed="81"/>
            <rFont val="Tahoma"/>
            <family val="2"/>
          </rPr>
          <t>USUARIO:</t>
        </r>
        <r>
          <rPr>
            <sz val="9"/>
            <color indexed="81"/>
            <rFont val="Tahoma"/>
            <family val="2"/>
          </rPr>
          <t xml:space="preserve">
Producto Ajustado según Decreto No. 070 de Mayo de 2022.</t>
        </r>
      </text>
    </comment>
    <comment ref="U37" authorId="0" shapeId="0">
      <text>
        <r>
          <rPr>
            <b/>
            <sz val="9"/>
            <color indexed="81"/>
            <rFont val="Tahoma"/>
            <family val="2"/>
          </rPr>
          <t>USUARIO:</t>
        </r>
        <r>
          <rPr>
            <sz val="9"/>
            <color indexed="81"/>
            <rFont val="Tahoma"/>
            <family val="2"/>
          </rPr>
          <t xml:space="preserve">
Producto Ajustado según Decreto No. 070 de Mayo de 2022.</t>
        </r>
      </text>
    </comment>
    <comment ref="BI38" authorId="1" shapeId="0">
      <text>
        <r>
          <rPr>
            <b/>
            <sz val="9"/>
            <color indexed="81"/>
            <rFont val="Tahoma"/>
            <family val="2"/>
          </rPr>
          <t>teso:</t>
        </r>
        <r>
          <rPr>
            <sz val="9"/>
            <color indexed="81"/>
            <rFont val="Tahoma"/>
            <family val="2"/>
          </rPr>
          <t xml:space="preserve">
RBA RIFAS
</t>
        </r>
      </text>
    </comment>
    <comment ref="AY41" authorId="0" shapeId="0">
      <text>
        <r>
          <rPr>
            <b/>
            <sz val="9"/>
            <color indexed="81"/>
            <rFont val="Tahoma"/>
            <family val="2"/>
          </rPr>
          <t>USUARIO:</t>
        </r>
        <r>
          <rPr>
            <sz val="9"/>
            <color indexed="81"/>
            <rFont val="Tahoma"/>
            <family val="2"/>
          </rPr>
          <t xml:space="preserve">
Abogado
</t>
        </r>
      </text>
    </comment>
    <comment ref="AY42" authorId="0" shapeId="0">
      <text>
        <r>
          <rPr>
            <b/>
            <sz val="9"/>
            <color indexed="81"/>
            <rFont val="Tahoma"/>
            <family val="2"/>
          </rPr>
          <t>USUARIO:</t>
        </r>
        <r>
          <rPr>
            <sz val="9"/>
            <color indexed="81"/>
            <rFont val="Tahoma"/>
            <family val="2"/>
          </rPr>
          <t xml:space="preserve">
Auditorias</t>
        </r>
      </text>
    </comment>
    <comment ref="U44" authorId="3" shapeId="0">
      <text>
        <r>
          <rPr>
            <b/>
            <sz val="10"/>
            <color indexed="81"/>
            <rFont val="Calibri"/>
            <family val="2"/>
          </rPr>
          <t>Usuario de Microsoft Office:</t>
        </r>
        <r>
          <rPr>
            <sz val="10"/>
            <color indexed="81"/>
            <rFont val="Calibri"/>
            <family val="2"/>
          </rPr>
          <t xml:space="preserve">
Producto Adiciona No. 121 de Septiembre de 2022.</t>
        </r>
      </text>
    </comment>
  </commentList>
</comments>
</file>

<file path=xl/sharedStrings.xml><?xml version="1.0" encoding="utf-8"?>
<sst xmlns="http://schemas.openxmlformats.org/spreadsheetml/2006/main" count="6214" uniqueCount="1243">
  <si>
    <t xml:space="preserve">Linea Estrategica / Dimension /Eje / Pilar </t>
  </si>
  <si>
    <t>I TRIMESTRE</t>
  </si>
  <si>
    <t>II TRIMESTRE</t>
  </si>
  <si>
    <t>III TRIMESTRE</t>
  </si>
  <si>
    <t>IV TRIMESTRE</t>
  </si>
  <si>
    <t>NP</t>
  </si>
  <si>
    <t>POLITICA SOCIAL POR EL BUEN VIVIR</t>
  </si>
  <si>
    <t>Personas capacitadas</t>
  </si>
  <si>
    <t>Servicio de asistencia técnica</t>
  </si>
  <si>
    <t>Sedes dotadas</t>
  </si>
  <si>
    <t>Alcanzar el 100% de la implementacion de la estrategia de atencion integral en salud de las poblaciones especiales (de la infancia, niñez, discapacidad, Victimas del conflicto armado, grupos etnicos (afros e indigenas) y adulto mayor),  en el municipio de Cartago (V), durante el periodo de gobierno.</t>
  </si>
  <si>
    <t>SALUD Y PROTECCIÓN SOCIAL</t>
  </si>
  <si>
    <t>Aseguramiento y Prestación integral de servicios de salud</t>
  </si>
  <si>
    <t>Servicio de atención en salud a la población</t>
  </si>
  <si>
    <t>Personas atendidas con servicio de salud</t>
  </si>
  <si>
    <t>Servicio de apoyo para la dotación hospitalaria</t>
  </si>
  <si>
    <t>COBERTURA EN SALUD</t>
  </si>
  <si>
    <t>Personas afiliadas en servicio de salud</t>
  </si>
  <si>
    <t>Mantener en 2,0 la tasa de mortalidad por EDA en menores de 5 años</t>
  </si>
  <si>
    <t>Salud Pública</t>
  </si>
  <si>
    <t>Servicio de gestión del riesgo para abordar situaciones de salud relacionadas con condiciones ambientales</t>
  </si>
  <si>
    <t>Campañas de gestión del riesgo para abordar situaciones de salud relacionadas con condiciones ambientales implementadas</t>
  </si>
  <si>
    <t>Realizar al 100% las acciones de la gestión integral de seguimiento, monitoreo  y evaluación del Plan de Salud Pública y de Intervenciones Colectivas PISPIC, en el marco de la resolución 518/2015, Resolución 3202/2016,  y la Resolución 3280/2018.</t>
  </si>
  <si>
    <t>Inspección, vigilancia y control</t>
  </si>
  <si>
    <t>Servicio de inspección, vigilancia y control</t>
  </si>
  <si>
    <t>1903011</t>
  </si>
  <si>
    <t>visitas realizadas</t>
  </si>
  <si>
    <t>Servicio de implementación de estrategias para el fortalecimiento del control social en salud</t>
  </si>
  <si>
    <t>Estrategias para el fortalecimiento del control social en salud implementadas</t>
  </si>
  <si>
    <t>Servicio de auditoría y visitas inspectivas</t>
  </si>
  <si>
    <t>auditorías y visitas inspectivas realizadas</t>
  </si>
  <si>
    <t>Asistencias técnicas realizadas</t>
  </si>
  <si>
    <t>Mantener por debajo de 11,45 la prevalencia de Hipertension arterial</t>
  </si>
  <si>
    <t>Servicio de promoción de la salud y prevención de riesgos asociados a condiciones no transmisibles</t>
  </si>
  <si>
    <t>Campañas de promoción de la salud  y prevención de riesgos asociados a condiciones no transmisibles implementadas</t>
  </si>
  <si>
    <t>Mantener  por debajo de 11,40 la Tasa de mortalidad por suicidio y lesiones autoinflingidas (por 100.000 habitantes)</t>
  </si>
  <si>
    <t>Servicio de gestión del riesgo en temas de trastornos mentales</t>
  </si>
  <si>
    <t>Campañas de gestión del riesgo en temas de trastornos mentales implementadas</t>
  </si>
  <si>
    <t>Mantener en 0 la tasa de mortalidad por desnutrición en niños y niñas menores de 5 años,  (por 100.000 menores de 5 años)</t>
  </si>
  <si>
    <t>Servicio de gestión del riesgo para temas de consumo, aprovechamiento biológico, calidad e inocuidad de los alimentos</t>
  </si>
  <si>
    <t xml:space="preserve">Personas atendidas con campañas de gestión del riesgo para temas de consumo y aprovechamiento biológico de los alimentos, calidad e inocuidad de los alimentos </t>
  </si>
  <si>
    <t>Manterner  por debajo de 6,13 la proporcion de Bajo Peso al nacer</t>
  </si>
  <si>
    <t>Campañas de gestión del riesgo para temas de consumo, aprovechamiento biológico, calidad e inocuidad de los alimentos implementadas</t>
  </si>
  <si>
    <t>Manterner  por debajo de 51,45 la Tasa específica de fecundidad de mujeres adolescentes de 15 a 19 años</t>
  </si>
  <si>
    <t>Servicio de gestión del riesgo en temas de salud sexual y reproductiva</t>
  </si>
  <si>
    <t>Campañas de gestión del riesgo en temas de salud sexual y reproductiva implementadas</t>
  </si>
  <si>
    <t>Mantener en 100% las Coberturas utilies de Vacunación  en menores de 1 año (biológico trazador DPT).</t>
  </si>
  <si>
    <t>Servicio de gestión del riesgo para enfermedades emergentes, reemergentes y desatendidas</t>
  </si>
  <si>
    <t>Campañas de gestión del riesgo para enfermedades emergentes, reemergentes y desatendidas implementadas</t>
  </si>
  <si>
    <t>Lograr establecer en un 50%  la  linea base de las enfermedades laborales, diagnosticadas por cada  cien mil trabajadores afiliados al Sistema General de Riesgos,  en el municipio de Cartago (V), durante el periodo de gobierno.</t>
  </si>
  <si>
    <t>Servicio de gestión del riesgo para abordar situaciones prevalentes de origen laboral</t>
  </si>
  <si>
    <t>Campañas de gestión del riesgo para abordar situaciones prevalentes de origen laboral implementadas</t>
  </si>
  <si>
    <t>Lograr  en un 100% que el Centro Regulador de Ambulancias y Emergencia CRAE, migre a un  Sistema de Emergencias Medicas-  SEM decauerdo a la Resoolucion 926 del 2017, en el municipio de Cartago (V), durante el periodo de gobierno.</t>
  </si>
  <si>
    <t>Servicio de atención en salud pública en situaciones de emergencias y desastres</t>
  </si>
  <si>
    <t>Personas en capacidad de ser atendidas</t>
  </si>
  <si>
    <t>Centros reguladores de urgencias, emergencias y desastres adecuados</t>
  </si>
  <si>
    <t>1- INFORMACION PLAN DE DESARROLLO 2020-2023</t>
  </si>
  <si>
    <t xml:space="preserve">3. PROYECTO DE INVERSION </t>
  </si>
  <si>
    <t xml:space="preserve">4. ACTIVIDADES </t>
  </si>
  <si>
    <t xml:space="preserve">5. ARTICULACION  CCPET  Y  CPC ( DANE) </t>
  </si>
  <si>
    <t>6. CRONOGRAMA DE CUMPLIMIENTO</t>
  </si>
  <si>
    <t xml:space="preserve">9. RESPONSABLES </t>
  </si>
  <si>
    <t xml:space="preserve"> INDICADOR DE BIENESTAR /RESULTADO  PRIORIZADO  </t>
  </si>
  <si>
    <t xml:space="preserve">SECTOR MANUAL PROGRAMATICO </t>
  </si>
  <si>
    <t xml:space="preserve">CÓDIGO SECTOR  MANUAL PROGRAMATICO </t>
  </si>
  <si>
    <t>NOMBRE PROGRAMA MANUAL PROGRAMATICO</t>
  </si>
  <si>
    <r>
      <t>CÓDIGO PROGRAMA-</t>
    </r>
    <r>
      <rPr>
        <b/>
        <sz val="11"/>
        <rFont val="Calibri"/>
        <family val="2"/>
        <scheme val="minor"/>
      </rPr>
      <t>MANUAL PROGRAMATICO</t>
    </r>
  </si>
  <si>
    <r>
      <t xml:space="preserve">NOMBRE DEL </t>
    </r>
    <r>
      <rPr>
        <b/>
        <sz val="11"/>
        <color theme="1"/>
        <rFont val="Calibri"/>
        <family val="2"/>
        <scheme val="minor"/>
      </rPr>
      <t>PRODUCTO (CATALOGO MGA)</t>
    </r>
  </si>
  <si>
    <t xml:space="preserve">CÓDIGO DE PRODUCTO  (CATALOGO MGA)  </t>
  </si>
  <si>
    <t xml:space="preserve">INDICADOR </t>
  </si>
  <si>
    <t xml:space="preserve">NOMBRE DEL PROYECTO </t>
  </si>
  <si>
    <t>ESTADO DEL PROYECTO EN SUIFP</t>
  </si>
  <si>
    <t xml:space="preserve">CODIGO BPIN </t>
  </si>
  <si>
    <t xml:space="preserve">VALOR TOTAL DEL PROYECTO </t>
  </si>
  <si>
    <t>ACTIVIDADES</t>
  </si>
  <si>
    <t xml:space="preserve">CANTIDAD </t>
  </si>
  <si>
    <t xml:space="preserve">UNIDAD DE MEDIDA </t>
  </si>
  <si>
    <t xml:space="preserve">ENTREGABLE DE LA ACTIVIDAD </t>
  </si>
  <si>
    <t xml:space="preserve">REQUIERE CONTRATO 
SI/NO / GESTION </t>
  </si>
  <si>
    <t xml:space="preserve">CODIGO CCPET </t>
  </si>
  <si>
    <t>NOMBRE DE LA CUENTA CCPET</t>
  </si>
  <si>
    <r>
      <t xml:space="preserve">Cod. CPC DANE
</t>
    </r>
    <r>
      <rPr>
        <b/>
        <sz val="8"/>
        <color theme="1"/>
        <rFont val="Century Gothic"/>
        <family val="2"/>
      </rPr>
      <t>Diligenciar de la matriz adjunta</t>
    </r>
  </si>
  <si>
    <r>
      <t xml:space="preserve">Título CPC DANE
</t>
    </r>
    <r>
      <rPr>
        <b/>
        <sz val="8"/>
        <color theme="1"/>
        <rFont val="Century Gothic"/>
        <family val="2"/>
      </rPr>
      <t>Diligenciar de la matriz adjunta</t>
    </r>
  </si>
  <si>
    <t>Dependencia o unidad ejecutora Y la persona responsable de la implementación y seguimiento de la actividad</t>
  </si>
  <si>
    <t>7. FUENTES DE FINANCIACION (Presupuesto programado)</t>
  </si>
  <si>
    <t>Secretaria de salud y protección social</t>
  </si>
  <si>
    <t>Servicio de educación informal en temas de salud pública</t>
  </si>
  <si>
    <t>Servicio de información para la gestión de la inspección, vigilancia y control sanitario</t>
  </si>
  <si>
    <t>Usuarios del sistema</t>
  </si>
  <si>
    <t xml:space="preserve">CÓDIGO DE INDICADOR  (CATALOGO MGA)  </t>
  </si>
  <si>
    <t>META PROGRAMADA 2023</t>
  </si>
  <si>
    <t>Recursos propios 2023</t>
  </si>
  <si>
    <t>SGP Educación 2023(valores en pesos)</t>
  </si>
  <si>
    <t xml:space="preserve"> SGP Salud 2023 (valores en pesos)</t>
  </si>
  <si>
    <t>SGP APSB 2023</t>
  </si>
  <si>
    <t>SGP Cultura 2023</t>
  </si>
  <si>
    <t>SGP Deporte 2023</t>
  </si>
  <si>
    <t>SGP Libre Inversión 2023</t>
  </si>
  <si>
    <t>SGP Libre Destinación 42% Mpios 4, 5 y 6 Cat 2023</t>
  </si>
  <si>
    <t>SGP Alimentación Escolar 2023</t>
  </si>
  <si>
    <t>SGP Municipios Río Magdalena 2023</t>
  </si>
  <si>
    <t>SGP Primera Infancia 2023</t>
  </si>
  <si>
    <t xml:space="preserve"> Regalías 2023</t>
  </si>
  <si>
    <t>Cofinanciación Departamento 2023</t>
  </si>
  <si>
    <t>Cofinanciación Nación 2023</t>
  </si>
  <si>
    <t>Crédito 2023</t>
  </si>
  <si>
    <t>Otros 2023</t>
  </si>
  <si>
    <t>Total  2023</t>
  </si>
  <si>
    <t>META EJECUTADA 2023</t>
  </si>
  <si>
    <t>8. FUENTES DE FINANCIACION (Presupuesto ejecutado)</t>
  </si>
  <si>
    <t>OBSERVACIÓN</t>
  </si>
  <si>
    <t>Servicio de apoyo financiero para la reorganización de redes de prestación de servicios de salud</t>
  </si>
  <si>
    <t>Empresas  sociales del estado con apoyo financiero</t>
  </si>
  <si>
    <t>NE</t>
  </si>
  <si>
    <t>SALUD</t>
  </si>
  <si>
    <t>PLAN DE ACCIÓN INICIAL 2024</t>
  </si>
  <si>
    <t xml:space="preserve">2. PLAN INDICATIVO      
</t>
  </si>
  <si>
    <t>Informes de cumplimiento</t>
  </si>
  <si>
    <t xml:space="preserve">Número </t>
  </si>
  <si>
    <t>SI</t>
  </si>
  <si>
    <t>Realizar doce (12) seguimientos al año de los recursos del régimen subsidiado en salud que se deben girar a las Eps del municipio de acuerdo a las matrices y a la Liquidación mensual de afiliados que publica el Ministerio de Salud, con el fin de garantizar la atención oportuna en salud de la población afiliada.</t>
  </si>
  <si>
    <t>Informes de seguimiento</t>
  </si>
  <si>
    <t>NO</t>
  </si>
  <si>
    <t xml:space="preserve">Aseguramiento en Salud </t>
  </si>
  <si>
    <t>Promoción a la afiliación en salud</t>
  </si>
  <si>
    <t>Realizar nueve (09) intervenciones de educación y sensibilización que permitan mitigar los eventos en salud pública relacionados con la tenencia responsable de mascotas.</t>
  </si>
  <si>
    <t>Realizar  treinta (30) capacitaciones del cuidado, manejo y consumo responsable del recurso hídrico, para reducir los riesgos que afectan la calidad del agua de consumo humano.</t>
  </si>
  <si>
    <t>Realizar el 100% del control  de la poblacion animal los cuales son remitidas por la Secretaria de Salud y Protección Social en áreas públicas del Municipio de Cartago</t>
  </si>
  <si>
    <t xml:space="preserve">Porcentaje </t>
  </si>
  <si>
    <t>Informe de cumplimiento</t>
  </si>
  <si>
    <t xml:space="preserve">Salud Ambiental </t>
  </si>
  <si>
    <t>Salud Ambiental</t>
  </si>
  <si>
    <t>Apoyar el 100% de una campaña para la inspección vigilancia y control de establecimientos de interés en salud pública, enfermedades transmitidas por vectores y zoonosis, alimentos asociados al consumo y uso de  aguas recreativas y residuales</t>
  </si>
  <si>
    <t>Realizar 34974 visitas en entorno hogar, comunitario y sumideros para encuestas entomologicas y control larvario.</t>
  </si>
  <si>
    <t>Inmunizar contra la rabia a 23.138 animales, entre caninos y felinos.</t>
  </si>
  <si>
    <t xml:space="preserve">Realizar 78 muestras de agua en sistemas de abastecimiento urbano y rural y elaboración de  mapas de riesgo. </t>
  </si>
  <si>
    <t>Realizar 1833 visitas y toma de muestras en establecimientos, vendedores ambulantes y estacionarios que procesan, producen, almacena, transportan y expenden alimentos.</t>
  </si>
  <si>
    <t>Realizar 2402 visitas a establecimientos de interes sanitario.</t>
  </si>
  <si>
    <t>Inspección, vigilancia y control sanitario</t>
  </si>
  <si>
    <t>Apoyar el 100% los procesos de alistamiento y ruta lógica en la formulación del plan territorial de salud vigencia 2024-2027</t>
  </si>
  <si>
    <t>Apoyar el 100% de las actividades del Plan de Acción de la Política de Participación Social en Salud.</t>
  </si>
  <si>
    <t xml:space="preserve">Plan Territorial en Salud </t>
  </si>
  <si>
    <t xml:space="preserve">Participación Social en Salud </t>
  </si>
  <si>
    <t>Realizar busqueda y seguimiento de enfermedades de interés en salud pública y caracterización de potenciales operadores del Sistema y Vigilancia de Interes Publica.</t>
  </si>
  <si>
    <t>Apoyar una (1) actualización del documento ASIS (Análisis de Situación de Salud).</t>
  </si>
  <si>
    <t>Realizar (150) visitas de inspeccion y vigilancia a los prestadores de servicios de salud habilitadas en el Municipio de Cartago, evaluando el Sistema de Salud Publica</t>
  </si>
  <si>
    <t>Fortalecer capacidades en el talento humano en las insituciones del SGSS que contribuyan a mejorar las capacidades para la gestión en salud mejorando la salud en la población</t>
  </si>
  <si>
    <t>Apoyar un (1) seguimiento anual al SGSSS en rendición de cuentas.</t>
  </si>
  <si>
    <t>Realizar doce (12) liquidaciones al año para el pago de los recursos al régimen subsidiado</t>
  </si>
  <si>
    <t>Realizar asistencias tecnicas en temas inherentes de aseguramiento a las IPS y EPS del Municipio.</t>
  </si>
  <si>
    <t>Vigilancia en Salud Pública-Búsquedas Activas</t>
  </si>
  <si>
    <t xml:space="preserve">ASIS </t>
  </si>
  <si>
    <t xml:space="preserve">Habilitación en Salud </t>
  </si>
  <si>
    <t>Capacidades del Talento Humano</t>
  </si>
  <si>
    <t>-</t>
  </si>
  <si>
    <t>Auditoría a las EAPB</t>
  </si>
  <si>
    <t>Rendición de Cuentas</t>
  </si>
  <si>
    <t>Asistencias Técnicas a las IPS´s</t>
  </si>
  <si>
    <t>Se deben ajustar las actividades de acuerdo a la normatividad en salud y las funciones municipales en salud.(Cruces de bases de datos)</t>
  </si>
  <si>
    <t>Se deben ajustar las actividades de acuerdo a la normatividad en salud y las funciones municipales en salud.(Auditorias financieras EPS)</t>
  </si>
  <si>
    <t xml:space="preserve">Liquidaciones Mensuales de Pago </t>
  </si>
  <si>
    <t xml:space="preserve">Actos Administrativos </t>
  </si>
  <si>
    <t>Realizar el 100% de asesoría permanente en la defensa jurídica, elaboración de conceptos y documentos legales asignados a la Secretaría de Salud.</t>
  </si>
  <si>
    <t>Asesoría Jurídica</t>
  </si>
  <si>
    <t>Sostener el 100% del mantenimiento y soporte del software SISAP, para la gestión  de la información en salud en la Secretaría de Salud del Municipio de Cartago.</t>
  </si>
  <si>
    <t xml:space="preserve">Sistema de Información </t>
  </si>
  <si>
    <t>Realizar quince (15) jornadas de promoción, prevención y detección temprana de enfermedades crónicas no transmisibles.</t>
  </si>
  <si>
    <t xml:space="preserve">Fomentar a 4,500 personas actividad física promoviendo la creación o adopción de modos condiciones o estilos de vida saludables en los entornos cotidianos.  </t>
  </si>
  <si>
    <t>Realizar quince (15) talleres en Instituciones Educativas con la estrategia educativa en salud "espacios libres de humo de tabaco" mediante acciones dirigidas en el desarrollo, gestión y coordinación intersectorial sobre la calidad del aire.</t>
  </si>
  <si>
    <t>Beneficiar a 1.300 adultos mayores en actividades de promoción de hábitos de vida saludable y la prevención de enfermedades crónicas no transmitibles de acuerdo a su condición de salud.</t>
  </si>
  <si>
    <t>Realizar doce (12) jornadas de promoción y asesoría en salud, con actividades complementaria al POS en articulación con las IPS y EPS.</t>
  </si>
  <si>
    <t>Realizar veinte (20) seguimientos a bases de datos de pacientes crónicos de las IPS garantizando el ingreso a los programas de promoción y prevención.</t>
  </si>
  <si>
    <t>Vida Saludable y Condiciones No Transmisibles</t>
  </si>
  <si>
    <t xml:space="preserve">Personas </t>
  </si>
  <si>
    <t>Realizar dos (2) capacitaciones a los integrantes de las asociaciones de usuarios conformados en el Municipio en derechos de salud mental.</t>
  </si>
  <si>
    <t>Realizar cuatro (4) talleres a lideres o representantes de la población desplazada en prevención de la violencia en los entornos y socialización de la ruta de atención a trastornos mentales.</t>
  </si>
  <si>
    <t>Realizar dos (2) capacitaciones a docentes orientadores del Municipio en detección temprana de riesgo de violencias y conducta suicida.</t>
  </si>
  <si>
    <t>Realizar treinta (30) programas  para la promoción de la salud mental y prevención de las enfermedades mentales a través de redes sociales.</t>
  </si>
  <si>
    <t>Sostener al 100% las nueve (9) zonas de orientación escolar (ZOE) en las Instituciones Educativas que cuenten con la misma.</t>
  </si>
  <si>
    <t>Realizar cincuenta y cuatro (54) seguimientos a las Zonas de Orientación Escolar (ZOES), es decir, seis (6) seguimientos a cada una de las nueve (9) ZOES, con acciones de prevención del suicidio, Prevención y Atención del Consumo de Sustancias Psicoactivas y violencia intrafamiliar.</t>
  </si>
  <si>
    <t>Realizar dos (2) Capacitaciones a los profesionales del sector salud de las IPS, ESE de las áreas de urgencias, personal de transporte asistencial, organismos de socorro y fuerza pública , en guía de atención a pacientes agitados y protocolo de inmovilización.</t>
  </si>
  <si>
    <t>Realizar una (1) campaña de prevención del suicidio y Bullying.</t>
  </si>
  <si>
    <t>Realizar el 100% seguimientos a los casos de voolencia de genero e intrafamiliar en menores de 14 años y gestantes notificadas en SIVIGILA, verificando el cumplimiento de la ruta de atención integral.</t>
  </si>
  <si>
    <t>Realizar doce (12) Talleres en Instituciones Educativas para prevención en el consumo de SPA.</t>
  </si>
  <si>
    <t xml:space="preserve">Salud Mental </t>
  </si>
  <si>
    <t>Capacitar 1100 cuidadores de niños y niñas, a población general a menores de cinco años, de los programas FAMI y CDI de la modalidad familiar-institucional, hogares infantiles en la estrategia AEIPI comunitario (lactancia materna, alimentación complementaria saludable).</t>
  </si>
  <si>
    <t>Realizar cinco (5) seguimientos a programas de 1ra Infancia y ruta materno perinatal de las EPS y su red prestadora, para promover consumo de una alimentación completa, equilibrada, con el fin de reducir la presencia del bajo peso al nacer en mujeres con controles y sin controles prenatales.</t>
  </si>
  <si>
    <t xml:space="preserve">Seguridad Alimentaria y Nutricional </t>
  </si>
  <si>
    <t xml:space="preserve">Capacitar a 3.000 niños, niñas y adolescentes, en prevención del embarazo y la promoción de proyectos de vida en edades entre 15 y 19 años, en acciones coordinadas con los actores del SGSSS. </t>
  </si>
  <si>
    <t>Realizar el 100% de la campaña de promoción de la inclusión social de la población LGTBI, foro educativo e informativo en diversidad sexual.</t>
  </si>
  <si>
    <t>Realizar entrega de material de apoyo, (9.158 preservativos), en las diferentes actividades de salud sexual y reproductiva.</t>
  </si>
  <si>
    <t>Realizar cuatro (4) asistencias técnicas en PESCC con acciones coordinadas con los actores del SGSSS.</t>
  </si>
  <si>
    <t>Realizar 2.000 charlas educativas en derechos sexuales y reproductivos que permitan la canalización de gestantes con o sin controles prenatales.</t>
  </si>
  <si>
    <t>Capacitar a 3.000 personas con la estrategia de prevención de ITS, derechos sexuales, prevención de la violencia de género y sexual, socialización de la rutas de atención.</t>
  </si>
  <si>
    <t>Realizar seis (6) seguimientos a las rutas de atención a víctimas de abuso sexual niños, niñas, adolescentes y verificación de kits de atención a víctimas en las IPS del municipio de Cartago.</t>
  </si>
  <si>
    <t>Realizar cinco (5) seguimiento a la ruta integral de atención materno perinatal a las IPS.</t>
  </si>
  <si>
    <t>Realizar 32 asistencias técnicas a IPS, para garantizar la atención diferenciada de adolescentes y jóvenes, que incluya los procesos administrativos y asistenciales en el marco del modelo de servicios amigables para adolescentes y jóvenes (SAAJ).</t>
  </si>
  <si>
    <t>Salud Sexual y Reproductiva</t>
  </si>
  <si>
    <t>Realizar 1 olimpiada de salud sexual y reproductiva, con énfasis a la prevención del embarazo y deberes y derechos sexuales.</t>
  </si>
  <si>
    <t>Intervenir 2000 padres o cuidadores, en prevención y control de enfermedades inmunoprevenibles en niños menores de 5 años.</t>
  </si>
  <si>
    <t>Realizar doce (12) seguimientos a las cohortes de recién nacidos de IPS vacunadoras para prevenir, controlar o minimizar la aparición de enfermedades prevenibles por vacunas y sus consecuentes efectos negativos en la población.</t>
  </si>
  <si>
    <t>Sostener el 100% de las IPS vacunadoras del municipio de Cartago, con la entrega permanente de biológico y cargue a la plataforma paiweb durante el año.</t>
  </si>
  <si>
    <t>Realizar cuatro (4) actividades de vacunación para prevenir, controlar o minimizar la aparición de enfermedades prevenibles por vacunas y sus consecuentes efectos negativos en la población (Jornadas Nacionales de Vacunación).</t>
  </si>
  <si>
    <t>Realizar tres (3) monitoreos rápidos de cobertura de vacuna para prevenir, controlar o minimizar la aparición de enfermedades prevenibles por vacunas y sus consecuentes efectos negativos en la población.</t>
  </si>
  <si>
    <t>Realizar ocho (8) mantenimientos preventivos y correctivos de cuarto frío, bajo principios de calidad y pertinencia que garanticen la cadena de frío de los biológicos.</t>
  </si>
  <si>
    <t>Intervenir 2.000 personas a través de charlas educativas en promoción, prevención, atención y canalización de sintomáticos respiratorios a IPS primaria.</t>
  </si>
  <si>
    <t>Realizar el 100% de seguimiento a pacientes y sus contactos del programa en prevención y control de tuberculosis al año, reportado en SIVIGILA.</t>
  </si>
  <si>
    <t>Realizar 10 visitas de asistencia técnica a EPS e IPS en prevención y control de la tuberculosis al año.</t>
  </si>
  <si>
    <t>Realizar cuatro (4) informes anuales en prevención y control de la tuberculosis.</t>
  </si>
  <si>
    <t>Realizar una (1) campaña de promoción y prevención de la tuberculosis por medio de captación de sintomáticos respiratorios, complementado con un foro educativo orientado a personal médico, asistencial y comunidad general.</t>
  </si>
  <si>
    <t>Capacitar 1.200 personas al año, sobre el adecuado lavado de manos con disminución de probabilidad de ocurrencia de eventos evitables no deseados, y negativos para la salud del individuo</t>
  </si>
  <si>
    <t>Realizar el 100% de la campaña para intervenir viviendas con aplicación de insumos biológicos y acciones preventivas para controlar las enfermedades trasmitidas por vectores.</t>
  </si>
  <si>
    <t>Capacitar 3000 personas en la promoción y prevención de enfermedades transmitidas por vectores (Dengue, Zika, Chikunguña, Malaria y Leishmaniasis).</t>
  </si>
  <si>
    <t>Seguimiento y clasificación del 100% los eventos notificados a la Secretaría de Salud de las enfermedades transmisibles por vectores.</t>
  </si>
  <si>
    <t>Realizar el 100% de campaña orientada en la prevención, control y minimización de enfermedades respiratorias agudas.</t>
  </si>
  <si>
    <t>Realizar seguimiento al cumplimiento a la ruta de mantenimiento y promoción  de la Salud (RIAS)</t>
  </si>
  <si>
    <t>Seguimiento a las actividades y asistencia tecnica al derecho a morir dignamente</t>
  </si>
  <si>
    <t>Apoyar el seguimiento de los eventos de interés en salud pública reqeuridos por la Secretaria de Salud y Protección Social mediante recomendaciones médicas de acuerdo a los Protocolos y Lineamientos del Instituto Nacional de Salud.</t>
  </si>
  <si>
    <t>Realizar cuatro (4) capacitaciones a los profesionales de las IPS del Municipio de Cartago, en el adecuado diligenciamiento de los certificados de defunción, asi como el correcto reporte de los certificados en la plataforma RUAF, tanto de de la IPS como los reportados por la Dirección Local de Salud.</t>
  </si>
  <si>
    <t>Realizar seguimiento a la adherencia a las guias de practicas clinicas relacionadas con enfermerdades respiratorias agudas, y apoyo a las unidades de analisis de los eventos de interes en Salud Publica.</t>
  </si>
  <si>
    <t xml:space="preserve">Enfermedades No Transmisibles </t>
  </si>
  <si>
    <t>Realizar 300 visitas de caracterización a trabajadores informales que permita la prevención de enfermedades profesionales y mitigación riesgos de origen laboral.</t>
  </si>
  <si>
    <t>Realizar 300 visitas de vigilancia y control a trabajadores informales que permitan educación para la prevención de enfermedades profesionales y mitigación del riesgo de origen laboral.</t>
  </si>
  <si>
    <t>Realizar cuatro (4) acciones educativas en prevención de riesgos laborales orientada a población con discapacidad.</t>
  </si>
  <si>
    <t>Salud Laboral</t>
  </si>
  <si>
    <t>Visitas</t>
  </si>
  <si>
    <t>Realizar once (11) seguimientos a los planes de contingencia que permitan la planificación, gestión de las emergencias, capacidad de vigilancia y respuesta de las instituciones de salud, del municipio de Cartago.</t>
  </si>
  <si>
    <t>Garantizar el 100% de la operación general del centro regulador de ambulancias en el municipio de Cartago Valle.</t>
  </si>
  <si>
    <t>Realizar una (1) campaña de promoción de la salud y prevención de lesiones por pólvora.</t>
  </si>
  <si>
    <t>Sostener el 100% de la prestación del servicio de software para el desarrollo técnico de la plataforma de Georeferencionamiento para el centro regulador de ambulancias en el municipio de Cartago Valle.</t>
  </si>
  <si>
    <t xml:space="preserve">Emergencias y Desastres </t>
  </si>
  <si>
    <t xml:space="preserve">Centro Regulador de Ambulancias </t>
  </si>
  <si>
    <t xml:space="preserve">Pólvora </t>
  </si>
  <si>
    <t xml:space="preserve">Georreferencionamiento </t>
  </si>
  <si>
    <t>PLAN OPERATIVO ANUAL DE INVERSIONES (POAI)</t>
  </si>
  <si>
    <t>MUNICIPIO DE CARTAGO</t>
  </si>
  <si>
    <t>NIT: 891.900.493-2</t>
  </si>
  <si>
    <t>INICIAL VIGENCIA 2024 AJUSTADO CATEGORIA 2</t>
  </si>
  <si>
    <t>PARTE ESTRATÉGICA: Proyectos de inversión de la Vigencia</t>
  </si>
  <si>
    <t>Fuentes de Financiación para la vigencia</t>
  </si>
  <si>
    <t>Responsables</t>
  </si>
  <si>
    <t>CODIGO EJE</t>
  </si>
  <si>
    <t>EJE ESTRATÉGICO</t>
  </si>
  <si>
    <t>CODIGO SECTOR</t>
  </si>
  <si>
    <t>CODIGO FUT</t>
  </si>
  <si>
    <t xml:space="preserve">SECTOR  </t>
  </si>
  <si>
    <t>OBJETIVO SECTORIAL</t>
  </si>
  <si>
    <t>PROGRAMA</t>
  </si>
  <si>
    <t>DESCRIPCIÓN META DE RESULTADO</t>
  </si>
  <si>
    <t>DESCRIPCIÓN INDICADOR META DE RESULTADO</t>
  </si>
  <si>
    <t>LINEA BASE META RESULTADO 2019</t>
  </si>
  <si>
    <t>VR. ESPERADO META RESULTADO 2023</t>
  </si>
  <si>
    <t>SUBPROGRAMA</t>
  </si>
  <si>
    <t>OBJETIVO DEL SUBPROGRAMA</t>
  </si>
  <si>
    <t>No. De Meta</t>
  </si>
  <si>
    <t>DESCRIPCIÓN META PRODUCTO</t>
  </si>
  <si>
    <t>INDICADORES META PRODUCTO</t>
  </si>
  <si>
    <t>HOMOLOGACIÓN SECTOR CATALOGO</t>
  </si>
  <si>
    <t xml:space="preserve">CODIGO DEL SECTOR CATALOGO </t>
  </si>
  <si>
    <t>HOMOLOGACIÓN PROGRAMA CATALOGO</t>
  </si>
  <si>
    <t>CODIGO PROGRAMA CATALOGO</t>
  </si>
  <si>
    <t>PRODUCTO CATALOGO</t>
  </si>
  <si>
    <t>CODIGO PRODUCTO CATALOGO</t>
  </si>
  <si>
    <t>DESCRIPCIÓN DEPRODUCTO CATALOGO</t>
  </si>
  <si>
    <t>CODIGO HOMOLOGACIÓN INDICADOR DE PRODUCTO CATALOGO</t>
  </si>
  <si>
    <t>HOMOLOGACIÓN INDICADOR DE PRODUCTO CATALOGO</t>
  </si>
  <si>
    <t>Unidad de medida</t>
  </si>
  <si>
    <t>ACCIONES</t>
  </si>
  <si>
    <t>CODIGO CPC</t>
  </si>
  <si>
    <t>DESCRIPCION CPC</t>
  </si>
  <si>
    <t>CODIGO CICP</t>
  </si>
  <si>
    <t>NOMBRE CUENTA CIPC</t>
  </si>
  <si>
    <t>LINEA BASE META PRODUCTO 2019</t>
  </si>
  <si>
    <t>VR. ESPERADO META PRODUCTO 2023</t>
  </si>
  <si>
    <t>VALOR ESPERADO 2020</t>
  </si>
  <si>
    <t>VALOR ESPERADO 2021</t>
  </si>
  <si>
    <t>VALOR ESPERADO 2022</t>
  </si>
  <si>
    <t>VALOR ESPERADO 2023</t>
  </si>
  <si>
    <t>Codigo Proyeto BPIM</t>
  </si>
  <si>
    <t>Nombre del Proyecto</t>
  </si>
  <si>
    <t>SGP Alimentación Escolar 2024</t>
  </si>
  <si>
    <t>PAE</t>
  </si>
  <si>
    <t>SGP APSB 2024</t>
  </si>
  <si>
    <t>SGP Cultura 2024</t>
  </si>
  <si>
    <t>SGP Deporte 2024</t>
  </si>
  <si>
    <t>SGP Educación 2024</t>
  </si>
  <si>
    <t xml:space="preserve"> SGP Salud 2024</t>
  </si>
  <si>
    <t>SGP PG OSE (Libre Inversión) 2024</t>
  </si>
  <si>
    <t>SGP Libre Destinación 42% Mpios 4, 5 y 6 Cat 2024</t>
  </si>
  <si>
    <t>Recursos Propios 2024</t>
  </si>
  <si>
    <t>FOSYGA 2024 (Nacional)</t>
  </si>
  <si>
    <t>Etesa (Coljuegos) 2024</t>
  </si>
  <si>
    <t>Rentas Cedidas 2024</t>
  </si>
  <si>
    <t>Recursos IVC SUPERSALUD</t>
  </si>
  <si>
    <t>Estampilla Procultura 2024</t>
  </si>
  <si>
    <t>Estampilla Pro Tercera Edad 2024</t>
  </si>
  <si>
    <t>Impuesto de Seguridad y Convivencia (Fonsep) 2024</t>
  </si>
  <si>
    <t>Sobretasa Bomberil 2024</t>
  </si>
  <si>
    <t>COES Estratificacion</t>
  </si>
  <si>
    <t xml:space="preserve"> Rendimientos Financieros  2024</t>
  </si>
  <si>
    <t>Regalias 2024</t>
  </si>
  <si>
    <t>Otros 2024</t>
  </si>
  <si>
    <t xml:space="preserve"> Total 2024</t>
  </si>
  <si>
    <t>Dependencia Responsable</t>
  </si>
  <si>
    <t>1.2</t>
  </si>
  <si>
    <t>A.2</t>
  </si>
  <si>
    <t>MEJORAR LA CALIDAD DE VIDA DE LA POBLACIÓN, IMPLEMENTANDO POLITICAS Y ESTRATEGIAS DE PROMOCIÓN DE LA SALUD Y PREVENCIÓN DE LOS FACTORES  DE RIESGOS DE ENFERMEDAD,   PROPICIANDO ESTILOS DE VIDA SALUDABLES, EJERCIENDO VIGILANCIA AL CUMPLIMIENTO NORMATIVO DEL SGSSS,  BUSCANDO UNA EFICIENTE PRESTACIÓN DE LOS SERVICIOS DE SALUD EN EL MUNICIPIO DE FORMA OPORTUNA Y CON CALIDAD,  DE MANERA ARTICULADA CON LOS DIFERENTES ACTORES SECTORIALES Y TRANSECTORIALES.</t>
  </si>
  <si>
    <t>1. COBERTURA EN SALUD</t>
  </si>
  <si>
    <t>Mantener el 95 % la cobertura de afiliación al Sistema General de Seguridad Social en Salud (SGSSS) del Régimen Subsidiado, en el municipio de Cartago (V), durante el periodo de gobierno.</t>
  </si>
  <si>
    <t>% de cobertura del SGSSS</t>
  </si>
  <si>
    <t>1. GESTION DEL ASEGURAMIENTO AL SGSSS</t>
  </si>
  <si>
    <t>Implementar las estrategias y directrices de operación del Régimen Subsidiado promoviendo la cobertura universal, gestionando el financiamiento según las competencias municipales y desarrollando las acciones de supervisión al aseguramiento subsidiado con énfasis en el acceso, la calidad, la movilidad y la portabilidad.</t>
  </si>
  <si>
    <t>Cofinanciar la continuidad del 100% de la población que se encuentra afiliada al Régimen Subsidiado, en el municipio de Cartago (V), cada año durante el periodo de gobierno.</t>
  </si>
  <si>
    <t>% de cumplimiento de la cofinanciacion al RS</t>
  </si>
  <si>
    <t>Incluye el servicio de atención en salud a la población dentro del Sistema General de Seguridad Social en Salud</t>
  </si>
  <si>
    <t>190600400</t>
  </si>
  <si>
    <t>Número</t>
  </si>
  <si>
    <t>7536.0</t>
  </si>
  <si>
    <t>93121 - Servicios médicos generales</t>
  </si>
  <si>
    <t>2.3.2.02.02.009</t>
  </si>
  <si>
    <t>Servicios para la comunidad, sociales y personale</t>
  </si>
  <si>
    <t>2022761470016</t>
  </si>
  <si>
    <t>ADMINISTRACIÓN DE LOS RECURSOS DEL RÉGIMEN SUBSIDIADO, TRASLADO DE RECURSOS PARA LAS ACTIVIDADES EJERCIDAS POR LA SUPERINTENDENCIA NACIONAL DE SALUD (SUPERSALUD). CARTAGO ($87.153.035.969,54)</t>
  </si>
  <si>
    <t>SECRETARIA DE SALUD Y PROTECCION SOCIAL</t>
  </si>
  <si>
    <t>Realizar  el 100% de las acciones de la estretegia de promoción a la afiliación al SGSSS de la población No Asegurada para garantizar la cobertura de afiliación,  en el municipio de Cartago (V), cada año durante el periodo de gobierno.</t>
  </si>
  <si>
    <t>% de cumplimiento de las acciones estrategia de afiliacion al SGSSS</t>
  </si>
  <si>
    <t>Realizar el 100% de la campaña de promoción a la afiliación de la población no asegurada y movilidad subsidiado</t>
  </si>
  <si>
    <t>Garantizar el 100% del Giro de los recursos del Regimen Subsidiado par la inspeccion, vigilancia del ente territorial atraves de la Supersalud, en el municipio de Cartago (V), durante el periodo de gobierno.</t>
  </si>
  <si>
    <t xml:space="preserve"> % de Giros a la Supersalud</t>
  </si>
  <si>
    <t>Realizar el 100 % de giros de los recursos del 0.4% del monto total del regimen subsidiado con destino a la supersalud, en el municipio de Cartago (V), cada año durante el periodo de gobierno.</t>
  </si>
  <si>
    <t>% de cumplimiento de los Giros Realizados a la Supersalud</t>
  </si>
  <si>
    <t>Mantener doce (12) giros mensuales de los recursos del 0.4% del monto total del régimen subsidiado con destino a la supersalud</t>
  </si>
  <si>
    <t>2. SALUD AMBIENTAL</t>
  </si>
  <si>
    <t>Alcanzar el 100% de la implementacion de la estrategia de informacion, educacion y comunicación en tenencia responsable de animales de compañía y de produccion,  en el municipio de Cartago (V), durante el periodo de gobierno.</t>
  </si>
  <si>
    <t>% de Implementacion de la estrategia tenencia responsable de mascotas</t>
  </si>
  <si>
    <t>1. GESTION DE LA SALUD AMBIENTAL  Y  INTERVENCION SANITARIA</t>
  </si>
  <si>
    <t>Implementar las estrategias y directrices poblacionales, colectivas e individuales, que permitan intervenir los determinantes ambientales y sanitarios de la salud, relacionados con factores ambientales y  riesgo biologico asociados a la tenencia de animales de produccion y compañía.</t>
  </si>
  <si>
    <t>Realizar el 100% de las acciones de la estrategia de tenencia responsable de mascotas (Planes sanitarios de los animales, derechos y deberes de los animales en el marco de la Declaración Universal de Bienestar Animal), en el municipio de Cartago (V), cada año durante el periodo de gobierno.</t>
  </si>
  <si>
    <t>% de cumplimiento de las acciones estrategia de tenencia responsable de mascotas</t>
  </si>
  <si>
    <t>Incluye la gestión integral relacionada con la prevención de enfermedades generadas por sustancias químicas, por animales (zoonosis), vectores de contaminación en el aire y el agua, entre otros factores</t>
  </si>
  <si>
    <t>Realizar ocho (8) intervenciones de educación y sensibilización que permitan mitigar los eventos en salud pública relacionados con la tenencia responsable de mascotas, presenciales o virtuales de acuerdo a las condiciones de la pandemia</t>
  </si>
  <si>
    <t>7546.0</t>
  </si>
  <si>
    <t>93199 - Otros servicios sanitarios n.c.p.</t>
  </si>
  <si>
    <t>Mantener en 2,0 la tasa de mortalidad por EDA en menores de 5 años,  (por 100.000 habitantes),  en el municipio de Cartago (V), durante el periodo de gobierno.</t>
  </si>
  <si>
    <t>Tasa de mortalidad por EDA por 100 mil menores de 5 años (Linea base 2017)</t>
  </si>
  <si>
    <t>Realizar el 100% de las acciones de la estrategias de la politica-integral salud ambiental, en el municipio de Cartago (V), cada año durante el periodo de gobierno.</t>
  </si>
  <si>
    <t>% de cumplimiento de las acciones estrategias de la politica-integral salud ambiental</t>
  </si>
  <si>
    <t>Realizar cuatro (4) capacitaciones del cuidado, manejo y consumo responsable del recurso hídrico, para reducir los riesgos que afectan la calidad del agua de consumo humano, presenciales o virtuales de acuerdo a las condiciones de la pandemia</t>
  </si>
  <si>
    <t>2022761470058</t>
  </si>
  <si>
    <t>IMPLEMENTACION DEL PLAN DE INTERVENCIONES COLECTIVAS DEL MUNICIPIO DE CARTAGO ($908.704.404,99)</t>
  </si>
  <si>
    <t>Alcanzar el 100% de la implementacion de la estrategia de gestion integrada EGI-ZOONOSIS,  en el municipio de Cartago (V), durante el periodo de gobierno.</t>
  </si>
  <si>
    <t>% de Implementacion de la estrategia EGI-Zoonosis</t>
  </si>
  <si>
    <t>Ejecutar el 100% del convenio interadministrativo para desarrollar las acciones de recolección de perros, gatos y semovientes abandonados en vía pública y traslado al centro de bienestar animal;  vigilancia y control de animales de animales en albergues.</t>
  </si>
  <si>
    <t>% de ejecucion del convenio interadministrativo</t>
  </si>
  <si>
    <t>Realizar siete (7) seguimientos de vigilancia y control a los eventos de interés de salud publica en materia de zoonosis</t>
  </si>
  <si>
    <t>2022761470017</t>
  </si>
  <si>
    <t>DESARROLLO DE ACTIVIDADES DE PROMOCIÓN Y PREVENCIÓN PARA FORTALECER LA AUTORIDAD SANITARIA EN LA GESTIÓN DE LA SALUD PÚBLICA DEL MUNICIPIO DE CARTAGO ($497.365.362,43)</t>
  </si>
  <si>
    <t>Realizar el 100% de las acciones de la  estrategia de gestion integrada EGI-Zoonosis.</t>
  </si>
  <si>
    <t>% de cumplimiento de las acciones de la estrategia EGI-Zoonosis</t>
  </si>
  <si>
    <t>El servicio de inspección, vigilancia y control permite mantener los estándares en las entidades del sector salud</t>
  </si>
  <si>
    <t>190301100</t>
  </si>
  <si>
    <t>Realizar siete (7) seguimientos, anuales a las quejas de origen zoonótico, radicadas en la dirección local de salud</t>
  </si>
  <si>
    <t>2022761470018</t>
  </si>
  <si>
    <t>FORTALECIMIENTO DE LAS ACTIVIDADES DE INSPECCIÓN, VIGILANCIA Y CONTROL CON EL DESARROLLO DE LAS ACTIVIDADES TÉCNICAS Y ADMINISTRATIVAS DE LA SECRETARÍA DE SALUD Y PROTECCIÓN SOCIAL DEL MUNICIPIO DE CARTAGO ($522.923.334,53)</t>
  </si>
  <si>
    <t>3. VIDA SALUDABLE Y CONDICIONES NO TRASMISIBLES</t>
  </si>
  <si>
    <t>Mantener por debajo de 11,45 la prevalencia de Hipertension arterial,  en el municipio de Cartago (V), durante el periodo de gobierno.</t>
  </si>
  <si>
    <t>Prevalencia de hipertensión arterial (Linea base 2015)</t>
  </si>
  <si>
    <t>11,45</t>
  </si>
  <si>
    <t>1. MODOS, CONDICIONES Y ESTILOS DE VIDA SALUDABLE</t>
  </si>
  <si>
    <t>Implementar las estrategias y directrices, que permitan crear condiciones para el desarrollo redes de apoyo para el empoderamiento atraves de aptitudes personales, y de una cultura de correspondabilidad social, que promueva y proteja la salud.</t>
  </si>
  <si>
    <t>Realizar el 100% de las acciones de la estrategia de estilos de vida saludables.</t>
  </si>
  <si>
    <t>% de cumplimiento de las acciones de la estrategia de estilo de vidas saludable</t>
  </si>
  <si>
    <t>Es el conjunto de acciones, procedimientos e intervenciones integrales, mediante los cuales se orienta a la población acerca de hábitos saludables que mejoran su condición de salud</t>
  </si>
  <si>
    <t xml:space="preserve">* Realizar doce (12) jornadas de promoción, prevención y detección temprana de enfermedades crónicas no transmisibles
* Fomentar a 2.500 personas actividad física promoviendo la creación o adopción de modos condiciones o estilos de vida saludables en los entornos cotidianos
* Realizar doce (12) talleres en Instituciones Educativas con la estrategia educativa en salud "espacios libres de humo de tabaco" mediante acciones dirigidas en el desarrollo, gestión y coordinación intersectorial sobre la calidad del aire de manera presencial o virtual dependiendo de las condiciones de la pandemia
* Beneficiar a 1.200 adultos mayores en actividades de promoción de hábitos de vida saludable y la prevención de enfermedades crónicas no transmitibles de acuerdo a su condición de salud
</t>
  </si>
  <si>
    <t>Mantener por debajo de 4,30 la prevalencia de Diabetes mellitus, en el municipio de Cartago (V), durante el periodo de gobierno.</t>
  </si>
  <si>
    <t>Prevalencia de la Diabetes mellitus (Linea base 2015)</t>
  </si>
  <si>
    <t>2. ATENCION INTEGRAL DE LAS ENFERMEDADES CRONICAS PREVALENTES</t>
  </si>
  <si>
    <t>Implementar las estrategias y directrices, de seguimiento a la capacidad de respuesta institucional de los actores del SGSSS en la gestion de servicios de salud individuales y colectivos, asi como sus servicios socio-saniatrios para la prevencion, control, inetrvencion y atencion integral  de enfermedades cronicas y alteraciones de la salud visual y auditiva.</t>
  </si>
  <si>
    <t>Realizar seguimiento al 100% de las IPS del municipio, en el abordaje integral de las Enfermedades Crónicas no Transmisibles.</t>
  </si>
  <si>
    <t>% de IPS con seguimiento en el abordaje integral de Enfermedades cronicas no trasmisibles</t>
  </si>
  <si>
    <t>* Realizar ocho (8) jornadas de promoción y asesoría en salud, con actividades complementaria al POS en articulación con las IPS y EPS de manera virtual o presencial dependiendo de la condiciones de la pandemia
* Realizar veinte (20) seguimientos a bases de datos de pacientes crónicos de las IPS garantizando el ingreso a los programas de promoción y prevención</t>
  </si>
  <si>
    <t xml:space="preserve">4. CONVENIENCIA SOCIAL Y SALUD MENTAL </t>
  </si>
  <si>
    <t>Alcanzar por debajo de 100% de la implementacion de la Politica Nacional de Salud Mental, y la Politica Integral para la Prevencion y Atencion del Consumo de Sustancias Psicoactivas,  en el municipio de Cartago (V), durante el periodo de gobierno.</t>
  </si>
  <si>
    <t>% de Implementacion de la politica nacional</t>
  </si>
  <si>
    <t>1. PROMOCION DE LA  SALUD MENTAL Y LA CONVIVENCIA</t>
  </si>
  <si>
    <t>Implementar las estrategias y directrices, de construccion, participacion y accion transectorial y comunitaria, de promocion  de la salud mental,  los trastornos mentales y sus eventos asociados, incluyendo el consumo de sustancias psicoactivas, que contribuyan  al bienestar, al desarrollo humano y social en todas las etapas del ciclo de vida, con equidad y enfoque diferencial, en los territorios cotidianos, en la poblacion general y problaciones en riesgos especificos que facilite o promueva la reincersion social y personal.</t>
  </si>
  <si>
    <t>Realizar el 100% de las acciones de la Política Nacional de Salud Mental, y la Politica Integral para la Prevencion y Atencion del Consumo de Sustancias Psicoactiva.</t>
  </si>
  <si>
    <t>% de cumplimiento de las acciones de Política Nacional de Salud Mental, y la Politica Integral para la Prevencion y Atencion del Consumo de Sustancias Psicoactiva</t>
  </si>
  <si>
    <t>Incluye acciones de prevención de los trastornos mentales asociados a factores sociales, psicológicos y biológicos, en los diferentes entornos en los que se desarrollan los individuos</t>
  </si>
  <si>
    <t>* Realizar doce (12) Talleres virtuales y/o presenciales en Instituciones Educativas para prevención en el consumo de SPA, de acuerdo a las condiciones de la pandemia
* Realizar dos (2) capacitaciones a los integrantes de las asociaciones de usuarios conformados en el Municipio en derechos de salud mental. Esta actividad se realizará de forma virtual y/o presencial según las condiciones de la pandemia
* Realizar cuatro (4) talleres a lideres o representantes de la población desplazada en prevención de la violencia en los entornos y socialización de la ruta de atención a trastornos mentales. Los talleres se realizarán acatando los lineamientos de distanciamiento social y elementos de bioseguridad. Esta actividad se realizará de forma virtual y/o presencial según las condiciones de la pandemia. 
* Realizar dos (2) capacitaciones a docentes orientadores del Municipio en detección temprana de riesgo de violencias y conducta suicida. Se propone realizarlas de forma virtual y/o presencial según las condiciones de la pandemia
* Realizar treinta (30) programas  para la promoción y prevención de las enfermedades mentales a través de redes sociales.</t>
  </si>
  <si>
    <t>Mantener  por debajo de 22,10 la Tasa de mortalidad por suicidio y lesiones autoinflingidas (por 100.000 habitantes),   en el municipio de Cartago (V), durante el periodo de gobierno.</t>
  </si>
  <si>
    <t>Tasa de mortalidad por suicidio y lesiones autoinflingidas  (Linea base 2017)</t>
  </si>
  <si>
    <t>2. PREVENCION Y ATENCION INTEGRAL EN SALUD MENTAL</t>
  </si>
  <si>
    <t>Implementar las estrategias y directrices, de gestion  y ampliacion de oferta institucional, para garantizar la atencion integral  a los problemas y trastornos mentales, eventos asociados a la violencia familiar, de genero, escolar entre pares, suicidio y otros eventos emergentes que permitan disminuir el impacto de la carga de la enfermedad,de quienes lo requieran, y permitan prevenir la cronificacion y el deterioro, y mitigar daños evitables en la poblacion.</t>
  </si>
  <si>
    <t>Realizar seguimiento al 100% de las IPS del municipio, en  el componente de salud mental desde la estrategia de atención primaria en salud en el abordaje integral de las Enfermedades Mentales.</t>
  </si>
  <si>
    <t>% de IPS con seguimiento en el abordaje integral de las Enfermedades Mentales</t>
  </si>
  <si>
    <t>* Sostener una (1) zona de orientación escolar (ZOE) en la Institución Educativa María Inmaculada
* Realizar cuatro (4) seguimientos a las Zonas de Orientación Escolar (ZOES) con acciones de prevención del suicidio, Prevención y Atención del Consumo de Sustancias Psicoactivas y violencia intrafamiliar de manera virtual dependiendo de las condiciones
* Realizar dos (2) Capacitaciones a los profesionales del sector salud de las IPS, ESE de las áreas de urgencias, personal de transporte asistencial, organismos de socorro y fuerza publica , en guía de atención a pacientes agitados y protocolo de inmovilización. Por motivo de la pandemia se realizaran de forma virtual. Si el día programado ya se ha terminado el confinamiento se realizaran de forma presencial con todas las medidas de seguridad.
* Realizar el 100% de la campaña de prevención del suicidio y Bullying</t>
  </si>
  <si>
    <t>Mantener por debajo de 121,36 la Tasa de incidencia de violencia intrafamiliar  (por 100.000 habitantes,  en el municipio de Cartago (V), durante el periodo de gobierno.</t>
  </si>
  <si>
    <t>Tasa de incidencia de violencia intrafamiliar (Linea base 2018)</t>
  </si>
  <si>
    <t>Realizar seguimiento al 100% de las IPS del municipio, en  el componente de salud mental desde la estrategia de atención primaria en salud a victimas de violencia intrafamiliar.</t>
  </si>
  <si>
    <t>% de IPS con seguimiento en el abordaje integral victimas de violencia intrafamiliar</t>
  </si>
  <si>
    <t>Realizar un (1) seguimiento permanente (mensual) la ruta de atención integral a victimas de violencia intrafamiliar de acuerdo a las estadísticas del SIVIGILA</t>
  </si>
  <si>
    <t>5. SEGURIDAD ALIMENTARIA Y NUTRICIONAL</t>
  </si>
  <si>
    <t>Mantener por debajo de 19 la tasa de mortalidad por desnutrición en niños y niñas menores de 5 años,  (por 100.000 menores de 5 años),   en el municipio de Cartago (V), durante el periodo de gobierno.</t>
  </si>
  <si>
    <t>Tasa de Mortalidad por Desnutrición en menores de 5 años (Linea base 2017)</t>
  </si>
  <si>
    <t>1. CONSUMO Y APROVECHAMIENTO BIOLOGICO DE LOS ALIMENTOS</t>
  </si>
  <si>
    <t>Implementar las estrategias y directrices, que buscan empoderar a la poblacion en la selección adecuada de alimentos y la practica de habitos alimentarios saludables, que permitan mantener un estado de salud y nutricional adecuado.</t>
  </si>
  <si>
    <t>Realizar el 100% de las acciones de la estrategia de seguridad nutricional y prevencion de malos habitos alimenticios.</t>
  </si>
  <si>
    <t>% de cumplimiento de las acciones de la estrategia de seguridad nutricional y prevencion de malos habitos alimenticios.</t>
  </si>
  <si>
    <t>Comprende acciones para disminuir la probabilidad de ocurrencia de eventos no deseados, evitables y negativos para la salud del individuo relacionado con la alimentación, como la obesidad, la desnutrición, la intoxicación, entre otros</t>
  </si>
  <si>
    <t>* Capacitar 900 cuidadores de niños y niñas, a población general a menores de cinco años, de los programas FAMI y CDI de la modalidad familiar-institucional, hogares infantiles en la estrategia AEIPI comunitario (lactancia materna, alimentación complementaria saludable). Las capacitaciones se realizaran por grupos de cada CDI de forma virtual utilizando redes sociales como facebook entre otros. Si termina el aislamiento obligatorio se procederá a cambiar la modalidad virtual por la presencial.</t>
  </si>
  <si>
    <t>Manterner  por debajo de 6,13 la proporcion de Bajo Peso al nacer,  en el municipio de Cartago (V), durante el periodo de gobierno.</t>
  </si>
  <si>
    <t>Mantener en &lt; 10% la proporción de Bajo Peso al Nacer (Linea base 2017)</t>
  </si>
  <si>
    <t>2. CALIDAD E INOCUIDAD NUTRICIONAL</t>
  </si>
  <si>
    <t>Implementar las estrategias y directrices, que contribuyan a la prevencion de la desnutricion y  la obesidad, con el proposito de prevenir el riesgo de padecer a edades temparanas enfermedades como la diabetes o enfermedades acrdiovasculares, en especial en la poblacion infantil.</t>
  </si>
  <si>
    <t>Realizar seguimiento al 100% de las IPS del municipio, en  el componente de salud nutricional  desde la estrategia de atención primaria en salud, para toda la poblacion en especial  a niños menores de 5 años y madres gestantes.</t>
  </si>
  <si>
    <t>% de IPS con seguimiento estrategia de salud nutricional</t>
  </si>
  <si>
    <t>Realizar cuatro (4) seguimientos anuales a programas de CCD y prenatal de IPS, para promover consumo de una alimentación completa, equilibrada, con el fin de reducir la presencia del bajo peso al nacer en mujeres con controles y sin controles prenatales</t>
  </si>
  <si>
    <t>6. SEXUALIDAD Y DERECHOS SEXUALES Y REPRODUCTIVOS</t>
  </si>
  <si>
    <t>Manterner  por debajo de 51,5 la Tasa específica de fecundidad de mujeres adolescentes de 15 a 19 años,   en el municipio de Cartago (V), durante el periodo de gobierno.</t>
  </si>
  <si>
    <t>Tasas Específicas de Fecundidad  en mujeres entre 15 y 19 años (Linea base 2017)</t>
  </si>
  <si>
    <t>51,5</t>
  </si>
  <si>
    <t>1. GARANTIA DE LOS DERECHOS SEXUALES, REPRODUCTIVOS Y EQUIDAD DE GENERO</t>
  </si>
  <si>
    <t>Implementar las estrategias y directrices, que garanticen el ejercicio de derechos relacionados con la sexualidad y la reproduccion, libre de violencias, en un marco de igualdad, libertad, autonomia y no discriminacion por motivos de sexo, edad, etnia, orientacion sexual o identidad de generao, discapacidad, religion o ser victima del conflicto armado.</t>
  </si>
  <si>
    <t>Realizar el 100% de las acciones de la Política Nacional de sexualidad, derechos sexuales y derechos reproductivos.</t>
  </si>
  <si>
    <t>% de cumplimiento de las acciones de la estrategia, de la Política Nacional de sexualidad, derechos sexuales y derechos reproductivos.</t>
  </si>
  <si>
    <t>Acciones relacionadas con la prevención y mitigación de riesgos que afectan la salud sexual y reproductiva de las personas en el curso de su vida</t>
  </si>
  <si>
    <t>Capacitar a 3.000 niños, niñas y adolescentes, en prevención del embarazo y la promoción de proyectos de vida en edades entre 15 y 19 años, en acciones coordinadas con los actores del SGSSS. Se solicitará los espacios a la secretaria de Educación para realizar las actividades de forma virtual y con material de apoyo, debido a la problemática de aislamiento que vive el país, presenciales o virtuales de acuerdo con la pandemia.
* Realizar el 100% de una (1) olimpiada de salud sexual y reproductiva, con énfasis a la prevención del embarazo y deberes y derechos sexuales. 
* Realizar una (1) campaña de promoción de la inclusión social de la población LGTBI, foro educativo e informativo en diversidad sexual, presencial o virtual de acuerdo a las condiciones de la pandemia.
* Realizar dos (2) asistencias técnicas anuales en PESCC con acciones coordinadas con los actores del SGSSS
* Realizar entrega de material de apoyo, (10.000 preservativos), en las diferentes actividades de salud sexual y reproductiva
* Realizar 1.800 visitas a viviendas para educación en derechos sexuales reproductivos que permitan la canalización de gestantes con o sin controles prenatales
* Capacitar a 3.000 personas con la estrategia de prevención de ITS, derechos sexuales, prevención de la violencia de género y sexual, socialización de la rutas de atención, presenciales o virtuales de acuerdo con la pandemia</t>
  </si>
  <si>
    <t>Mantener  la tasa de  incidencia de sifilis congenita en 235 ( por 1000 naciodos vivos),   en el municipio de Cartago (V), durante el periodo de gobierno.</t>
  </si>
  <si>
    <t>Tasa de incidencia de sifilis congenita (Linea base 2017)</t>
  </si>
  <si>
    <t>Mantener  por debajo la razon de  mortalidad materna evitable a 150 muertes anuales,  en el municipio de Cartago (V), durante el periodo de gobierno.</t>
  </si>
  <si>
    <t>Razón de Mortalidad materna (Linea base 2017)</t>
  </si>
  <si>
    <t>2. ATENCION INTEGRAL EN SALUD SEXUAL  Y REPRODUCTIVA</t>
  </si>
  <si>
    <t>Implementar las estrategias y directrices, para garantizar el acceso a servicios integrales en salud sexual y reproductiva de la poblacion, para la atencion preconceptual, prenatal, del parto y la prevencion del aborto inseguro, la deteteccion de factores de riesgo que inciden en la infecciones de trasmision sexual ITS-VIH/SIDA, con enfasis en poblaciones en contextos de mayor vulnerabilidad, en especial  en la poblacion de adolescentes y jovenes, en el marco de la atencion oportuna del sistema obligatorio de garantia y calidad de atencion primaria en salud.</t>
  </si>
  <si>
    <t>Realizar seguimiento al 100% de las IPS del municipio, en  el componente de maternidad segura desde la estrategia de atención primaria en salud  madres gestantes</t>
  </si>
  <si>
    <t xml:space="preserve">% de IPS con seguimiento, en  el componente de maternidad segura desde la estrategia de atención primaria en salud  madres gestantes </t>
  </si>
  <si>
    <t>* Realizar seis (6) seguimientos anuales a las rutas de atención a víctimas de abuso sexual niños, niñas, adolescentes y verificación de kits de atención a víctimas en las IPS del municipio de Cartago
* Realizar cuatro (4) seguimiento a las IPS con programas de control prenatal</t>
  </si>
  <si>
    <t>Mantener  igual o por debajo la tasa de  mortalidad por enfermedad VIH (SIDA),  en el municipio de Cartago (V), durante el periodo de gobierno.</t>
  </si>
  <si>
    <t>Tasa especifica de Mortalidad por enfermedad VIH (SIDA) (Linea base 2017)</t>
  </si>
  <si>
    <t>Realizar seguimiento al 100% de las IPS del municipio, en  el componente de servicios amigables desde la estrategia atención primaria en salud</t>
  </si>
  <si>
    <t>% de IPS con seguimiento, en  el componente de servicios amigables desde la estrategia atención primaria en salud</t>
  </si>
  <si>
    <t>Realizar 32 asistencias técnicas a IPS, para garantizar la atención diferenciada de adolescentes y jóvenes, que incluya los procesos administrativos y asistenciales en el marco del modelo de servicios amigables para adolescentes y jóvenes (SAAJ)</t>
  </si>
  <si>
    <t>7. VIDA SALUDABLE Y ENFERMEDADES TRANSMISIBLES</t>
  </si>
  <si>
    <t>Mantener por encima de 95% las Coberturas utilies de Vacunación  en menores de 1 año (biológico trazador DPT),  en el municipio de Cartago (V), durante el periodo de gobierno.</t>
  </si>
  <si>
    <t>Mantener por encima de 95% las Coberturas de Vacunación  en menores de 1 año (biológico trazador DPT) (Linea base 2018)</t>
  </si>
  <si>
    <t>118,31</t>
  </si>
  <si>
    <t>1. SALUD INFANTIL CON VACUNACION</t>
  </si>
  <si>
    <t>Implementar las estrategias y directrices, sectoriales, transectoriales y comunitarias tendientes a prevenir, controlar y minimizar los riesgos de mortalidad,  morbilidad y discapacidad prevenibles por vacunas en niños menores de cinco años, asi como promover su adecuado crecimiento y desarrollo, mediante acceso a servicios de salud  y la atencion integrada a las enfermedades prevalentes de la infancia AIEPI.</t>
  </si>
  <si>
    <t>Realizar el 100% de las acciones del Programa Ampliado de Inmunizaciones -PAI., y  del Programa de Crecimiento y Desarrollo.</t>
  </si>
  <si>
    <t>% de cumplimiento de las acciones  PAI -Crecimiento y Desarrollo</t>
  </si>
  <si>
    <t>Sin descripción en catalogo de productos</t>
  </si>
  <si>
    <t>* Capacitar 1.800 familias en prevención y control de enfermedades inmunoprevenibles en niños menores de 5 años
* Realizar doce (12) seguimientos a las cohortes de recién nacidos de IPS vacunadoras para prevenir, controlar o minimizar la aparición de enfermedades prevenibles por vacunas y sus consecuentes efectos negativos en la población
* Sostener el 100% de las IPS vacunadoras del municipio de Cartago, con la entrega permanente de biológico y cargue a la plataforma paiweb durante el año
* Realizar cuatro (4) actividades de vacunación para prevenir, controlar o minimizar la aparición de enfermedades prevenibles por vacunas y sus consecuentes efectos negativos en la población (Jornadas Nacionales de Vacunación)
* Realizar tres (3) monitoreos rápidos de cobertura de vacuna para prevenir, controlar o minimizar la aparición de enfermedades prevenibles por vacunas y sus consecuentes efectos negativos en la población
* Realizar nueve (9) mantenimientos preventivos y correctivos de cuarto frio, bajo principios de calidad y pertinencia que garanticen la cadena de frio de los biológicos</t>
  </si>
  <si>
    <r>
      <t xml:space="preserve">2022761470017 - </t>
    </r>
    <r>
      <rPr>
        <b/>
        <sz val="11"/>
        <color rgb="FFFF0000"/>
        <rFont val="Calibri"/>
        <family val="2"/>
        <scheme val="minor"/>
      </rPr>
      <t>2022761470058</t>
    </r>
  </si>
  <si>
    <t>DESARROLLO DE ACTIVIDADES DE PROMOCIÓN Y PREVENCIÓN PARA FORTALECER LA AUTORIDAD SANITARIA EN LA GESTIÓN DE LA SALUD PÚBLICA DEL MUNICIPIO DE CARTAGO ($497.365.362,43) - IMPLEMENTACION DEL PLAN DE INTERVENCIONES COLECTIVAS DEL MUNICIPIO DE CARTAGO ($908.704.404,99)</t>
  </si>
  <si>
    <t>Mantener por debajo de 10, 25 la Tasa de Mortalidad por Tuberculosis (por 100 mil habitantes ),  en el municipio de Cartago (V), durante el periodo de gobierno.</t>
  </si>
  <si>
    <t>Tasa de Mortalidad por Tuberculosis por 100 mil habitantes (Linea base 2017)</t>
  </si>
  <si>
    <t>10,25</t>
  </si>
  <si>
    <t>2. ATENCION INTEGRAL  A LAS ENFERMEDADES  TRASMISIBLES</t>
  </si>
  <si>
    <t>Implementar las estrategias y directrices sectoriales, transectoriales y comunitarias, que permitan la promocion, prevencion, vigilancia y control, de las enfermedades trasmitidas por via aerea y de contacto directo, por vectores ETV,  o infecciosas consideradas  emergentes, re-mergentes y desatendidas.</t>
  </si>
  <si>
    <t>Realizar el 100% de las acciones del Programa Nacional de Prevencion y Control de la Tuberculosis- PNPCT.</t>
  </si>
  <si>
    <t>% de cumplimiento de las acciones Programa Nacional de Prevencion y Control de la Tuberculosis- PNPCT</t>
  </si>
  <si>
    <t>* Realizar 1.800 visitas a viviendas para educación en promoción, prevención, atención y canalización de sintomáticos respiratorios a IPS primaria
* Realizar el 100% de seguimiento a pacientes y sus contactos del programa en prevención y control de tuberculosis al año, reportado en SIVIGILA
* Realizar 10 visitas de asistencia técnica a EPS e IPS en prevención y control de la tuberculosis al año
* Realizar cuatro (4) informes anuales en prevención y control de la tuberculosis
* Realizar una (1) campaña de promoción y prevención de la tuberculosis por medio de captación de sintomáticos respiratorios en cuatro puntos estratégicos en la ciudad, complementado con un foro educativo orientado a personal medico, asistencial y comunidad general</t>
  </si>
  <si>
    <t>Alcanzar el 100% de la implementacion de la estrategia de gestion integrada EGI-ETV,  en el municipio de Cartago (V), durante el periodo de gobierno.</t>
  </si>
  <si>
    <t>% de Implementacion de la estrategia EGI-ETV</t>
  </si>
  <si>
    <t>Realizar el 100% de las acciones de la  estrategia de gestion integrada EGI-ETV.</t>
  </si>
  <si>
    <t>% de cumplimiento de las acciones de la estrategia EGI-ETV</t>
  </si>
  <si>
    <t>* Capacitar 1.000 personas al año, sobre el adecuado lavado de manos con disminución de probabilidad de ocurrencia de eventos evitables no deseados, y negativos para la salud del individuo, de forma presencial o virtual dependiendo de la pandemia
* Intervenir 3.700 viviendas de la comuna siete (7) con aplicación de insumos biológicos y acciones preventivas para controlar las enfermedades trasmitidas por vectores
* Capacitar 2.000 personas de forma anual en la promoción y prevención de enfermedades trasmitidas por vectores (Dengue, Zika, Chikunguña, Malaria y Leishmaniasis)
* Seguimiento y clasificación del 100% los eventos notificados a la secretaria de salud de las enfermedades transmisibles por vectores
* Realizar una (1) campaña orientada en la prevención, control y minimización de ETV- enfermedades transmitidas por vectores como el dengue, zika, entre otras
* Realizar una (1) campaña orientada en la prevención, control y minimización de enfermedades respiratorias agudas</t>
  </si>
  <si>
    <t>Alcanzar el 100% de la implementacion de la estrategia de prevencion y control de las Infecciones Respiratorias Agudas Graves -IRAG incluidas el COVID-19, articulando acciones intersectoriales y transectoriales,  en el municipio de Cartago (V), durante el periodo de gobierno.</t>
  </si>
  <si>
    <t>% de Implementacion de la estrategia prevencion y control de las Infecciones Respiratorias Agudas Graves -IRAG incluidas el COVID-19</t>
  </si>
  <si>
    <t>Realizar el 100% de las acciones de la estrategia de prevencion y control  de las las Infecciones Respiratorias Agudas Graves -IRAG incluidas el COVID-19.</t>
  </si>
  <si>
    <t>% de cumplimiento de las acciones de la estrategia de prevencion y control  de las Infecciones Respiratorias Agudas Graves -IRAG incluidas el COVID-19.</t>
  </si>
  <si>
    <t>* Realizar un (1) seguimiento a los pacientes con resultado positivo a pesar de recibir tratamiento para COVID 19
* Revisar los protocolos y/o modificaciones de las diferentes instituciones de salud de acuerdo a los lineamientos del ministerio de salud para prevenir la propagación del COVID 19
* Realizar sesenta (60) visitas de seguimiento aleatorias, para verificar que las instituciones de salud estén cumpliendo los protocolos de bioseguridad para prevenir la propagación del COVID 19, ante la secretaria de salud del municipio
* Realizar seis (6) charlas educativas a los profesionales de la salud de diferentes instituciones del municipio (IPS MUNICIPAL, CLINICA NUEVA DE CARTAGO, HOSPITAL SAN JUAN DE DIOS, CLINICA COMFANDI, IPS HYL, CLINICA GUADALUPE), sobre las directrices dictadas por el ministerio de salud y protección social en el contexto de la pandemia por COVID 19
* Apoyar las acciones interinstitucionales para mitigar la transmisión del COVID-19 en el municipio de Cartago, registrando en el mapa de la secretaria los casos positivos de COVID-19, con el fin de identificar posibles casos positivos para COVID-19, asignación de conglomerados y número de viviendas a intervenir, aplicar pruebas rápidas para COVID-19 a población en riesgo
* Realizar seguimiento a todas las actividades de contingencia frente a la pandemia COVID-19 que se realicen por parte del personal de conglomerados, definiendo el instrumento a aplicar, realizando el seguimiento y la evaluación de actividades asignadas a cada integrante del equipo de conglomerados y supervisando el registro de los casos en el mapa de la Secretaría
* Implementar el programa de Pruebas, Rastreo y Aislamiento Selectivo y Sostenible para el seguimiento de los casos y contactos del nuevo coronavirus (COVID-19) de acuerdo a los decretos 1109 de 2020 y 1374 de 2020</t>
  </si>
  <si>
    <t>8. SALUD Y AMBITO LABORAL</t>
  </si>
  <si>
    <t>% de linea base  establecida de enfermedades laborales</t>
  </si>
  <si>
    <t>1. ENTORNO  DE TRABAJO SANO Y SEGURO</t>
  </si>
  <si>
    <t>Implementar las estrategias y directrices, de sensibilización y apropiación en la generación de conciencia del propio trabajador informal en los lugares de trabajo, para aumentar el control sobre su salud fisica, salud emocional, y el bienestar a nivel familiar y comunitario.</t>
  </si>
  <si>
    <t>Realizar el 100% de las acciones de la estrategia de entorno laboral saludable con enfasis en la informalidad, ,para que los trabajadores informales  adopten una cultura preventiva, identifiquen y mitiguen los riesgos en sus en sus trabajos.</t>
  </si>
  <si>
    <t>% de cumplimiento de las acciones de la estrategia de entorno laboral saludable con enfasis en la informalidad</t>
  </si>
  <si>
    <t>Acciones que previenen la carga de la enfermedad relacionada con la salud y bienestar de todos los trabajadores. Permite anticipar, conocer, evaluar y controlar los riesgos que pueden afectar la seguridad y salud en el trabajo</t>
  </si>
  <si>
    <t>* Realizar 200 visitas de caracterización a trabajadores informales que permita la prevención de enfermedades profesionales y mitigación riesgos de origen laboral
* Realizar 200 visitas de vigilancia y control a trabajadores informales que permitan educación para la prevención de enfermedades profesionales y mitigación del riesgo de origen laboral
* Realizar dos (2) acciones educativas en prevención de riesgos laborales orientada a población en condición de discapacidad</t>
  </si>
  <si>
    <t>9. GESTIÓN DIFERENCIAL DE POBLACIONES VULNERABLES</t>
  </si>
  <si>
    <t>% de Implementacion de la estrategia de atencion integral en salud de las poblaciones especiales</t>
  </si>
  <si>
    <t>1. ATENCION DIFERENCIAL EN SALUD DE POBLACIONES VULNERABLES</t>
  </si>
  <si>
    <t>Implementar las estrategias y directrices, intersectoriales y sectoriales orientadas a atender los determinantes particulares que con llevan a inequidades sanitarias persisitentes en las poblaciones vulnerables, propendiendo por la disminucion de brechas y enequidades sociales.</t>
  </si>
  <si>
    <t>Realizar el 100% de las acciones de la estrategia de atencion integral en salud de las poblaciones especiales (de la infancia, niñez, discapacidad, Victimas del conflicto armado, grupos etnicos (afros e indigenas) y adulto mayor).</t>
  </si>
  <si>
    <t>% de cumplimiento de las acciones de la estrategia atencion integral en salud de las poblaciones especiales</t>
  </si>
  <si>
    <t>1906</t>
  </si>
  <si>
    <t>1906004</t>
  </si>
  <si>
    <t>Incluye el servicio de atención en salud a la población dentro del Sistema General de Seguridad Social en Salud.</t>
  </si>
  <si>
    <t>* Realizar cuatro (4) actividades intersectoriales de inclusión social, redes sociales comunitarias, sectoriales e intersectoriales con el propósito de alcanzar un objetivo común en respuesta a una situación determinada en salud publica en menores de 5 años
* Realizar ochenta (80) actividades enfocadas en estimulación, motricidad, coordinación, tiempo y espacio, fuerza muscular y estabilidad en la población en condición de discapacidad
* Realizar ocho (8) apoyos a las actividades relacionadas con rehabilitación basada en comunidad, orientadas a la población en condición de discapacidad
* Realizar una (1) campaña de jornadas de sensibilización y socialización con la población en situación de discapacidad, al igual que inclusión y reincorporación a la vida laboral, donde se desarrollen capacidades para crear entornos saludables y acciones sectoriales, intersectoriales y comunitarias para reducir inequidades y a la afectación de los determinantes sociales de la salud de la población
* Brindar continuidad a la capacitación de veinti cinco (25) personas del área de la salud en lenguaje de señas colombianas (LSC), que permita la inclusión de personas en condición de discapacidad auditiva y habla, en los diferentes servicios de salud
* Realizar una (1) estrategia que le permita a la población victima del conflicto armado desarrollar, capacidades, para adaptarse y superar situaciones adversas y/o afectaciones psicosociales</t>
  </si>
  <si>
    <r>
      <t>2022761470016 -</t>
    </r>
    <r>
      <rPr>
        <b/>
        <sz val="11"/>
        <color rgb="FFFF0000"/>
        <rFont val="Calibri"/>
        <family val="2"/>
        <scheme val="minor"/>
      </rPr>
      <t>2022761470058</t>
    </r>
  </si>
  <si>
    <t>ADMINISTRACIÓN DE LOS RECURSOS DEL RÉGIMEN SUBSIDIADO, TRASLADO DE RECURSOS PARA LAS ACTIVIDADES EJERCIDAS POR LA SUPERINTENDENCIA NACIONAL DE SALUD (SUPERSALUD). CARTAGO ($87.153.035.969,54) - IMPLEMENTACION DEL PLAN DE INTERVENCIONES COLECTIVAS DEL MUNICIPIO DE CARTAGO ($908.704.404,99)</t>
  </si>
  <si>
    <t>PRODUCTO AJUSTADO</t>
  </si>
  <si>
    <t>Servicio de educacion Informal en temas de salud publica</t>
  </si>
  <si>
    <t>Corresponde al servicio de educación informal en temas de salud pública, orientado a la población a nivel de individuos, familias y comunidad en general.</t>
  </si>
  <si>
    <t>10. GESTIÓN DE LA SALUD PUBLICA - FORTALECIMIENTO DE LA AUTORIDAD SANITARIA</t>
  </si>
  <si>
    <t>Alcanzar el 100% de la implementacion de la Politica de Participacion Social en Salud - PPSS Resolucion 2063 de 2017,  en el municipio de Cartago (V), durante el periodo de gobierno.</t>
  </si>
  <si>
    <t>% de Implementacion la PPSS</t>
  </si>
  <si>
    <t>1. GESTION DE LA SALUD PUBLICA</t>
  </si>
  <si>
    <t xml:space="preserve">Implementar las estrategias y directrices, mediante  procesos dinámicos, integrales, sistemáticso y participativos, que bajo el liderazgo y conducción de la autoridad sanitaria, está orientado a que las políticas, planes, programas y proyectos de salud pública se realicen de manera efectiva, coordinada y organizada, entre los diferentes actores del Sistema de Salud, junto con otros sectores del Gobierno, de las organizaciones sociales y privadas y la comunidad, con el propósito de alcanzar optimos resultados en salud.  
 </t>
  </si>
  <si>
    <t>Realizar el 100% de las acciones de la Politica de Participacion Social en Salud - PPSS, para contribuir al goce efectivo de los derechos de la salud, de la poblacion del municpio de cartago.</t>
  </si>
  <si>
    <t>% de cumplimiento de las acciones de la Politica de Participacion Social en Salud - PPSS</t>
  </si>
  <si>
    <t xml:space="preserve">Este servicio permite obtener estrategias para el fortalecimiento del control social en salud </t>
  </si>
  <si>
    <t>Realizar treinta (30) encuentros con los representantes de cada uno de los grupos de la población objeto, presencial o virtual dependiendo de las condiciones de la pandemia</t>
  </si>
  <si>
    <t>Articularnos en 100%  con el Plan Departamental de Inspección, Vigilancia y Control Sanitario PT-IVC en el marco de la Resolucion 1229 de 2013,   en el municipio de Cartago (V), durante el periodo de gobierno.</t>
  </si>
  <si>
    <t xml:space="preserve"> % de articulacion con el PT-IVC</t>
  </si>
  <si>
    <t>Realizar el 100% de las acciones articuladas en el Plan Departamental de Inspección, Vigilancia y Control Sanitario PT-IVC, en especial en establecimientos de interés sanitario.</t>
  </si>
  <si>
    <t>% de cumplimiento de las acciones  articuladas en el PT-IVC</t>
  </si>
  <si>
    <t>* Vigilar 200 establecimientos con visitas de inspección vigilancia y control de los establecimientos de interés sanitario (Establecimientos de elaboración y consumo de alimentos, formales e informales, venta de cárnicos y bebidas alcohólicas).
*Vigilar 200 establecimientos con visitas de inspección, vigilancia y control de los establecimientos de interés sanitario (Piscinas , establecimientos que generan residuos peligrosos, IPS y expendio de medicamentos entre otros).
* Realizar siete (7) seguimientos anuales a la totalidad de las quejas sanitarias interpuestas por la comunidad que afectan la salud publica
* Mantener al 100% búsqueda activa de los prestadores de servicios de salud individuales (profesionales en salud), instituciones (IPS) y centros de salud estética, que permita garantizar a la población, la integralidad y el cumplimiento de todos los estándares de habilitación según la normatividad vigente</t>
  </si>
  <si>
    <t>Lograr el 100%  de los eventos de interés en salud publica sean intervenidos y vigilados en especial las Infecciones Respiratorias Agudas Graves -IRAG incluidas el COVID-19 ,  en el municipio de Cartago (V), durante el periodo de gobierno.</t>
  </si>
  <si>
    <t>%  de eventos de interés de salud publica intervenidos y vigilados ( Infecciones Respiratorias Agudas Graves -IRAG incluidas el COVID-19)</t>
  </si>
  <si>
    <t>Realizar seguimiento al 100% de las IPS del municipio, en la gestión del sistema de vigilancia en salud pública en el cumplimiento de adherencia a las acciones y los protocoles de los eventos de interés en salud pública, de manera especial a las Infecciones Respiratorias Agudas Graves -IRAG incluidas el COVID-19.</t>
  </si>
  <si>
    <t>% de IPS con seguimiento en el cumplimiento de adherencia a las acciones y los protocoles de los eventos de interes en salud publica (Infecciones Respiratorias Agudas Graves -IRAG incluidas el COVID-19)</t>
  </si>
  <si>
    <t>El servicio de auditoría y visitas inspectivas realizada para verificar el cumplimiento de los estándares y normatividad vigente</t>
  </si>
  <si>
    <t>* Realizar siete (7) seguimientos a los eventos de interés de salud pública y vigilancia sanitaria notificados a la dirección local de salud incluido el COVID19. En el marco de la Ley 715 de 2001- Ley 9/1979 y el Decreto 3518/2006; esto incluye realizar solicitudes de historias clínicas, revisión de historias clínicas, visitas domiciliarias, solicitudes de ajustes a casos en SIVIGILA, retroalimentación (lineamientos, guías, normatividad, capacitaciones y convocatorias) a instituciones de salud en lo concerniente a los eventos de interés en salud pública
* Brindar siete (7) acompañamientos en la realización y participación de las Unidades de Análisis (Municipales y Departamentales) de las mortalidades y morbilidades de Eventos de interés en salud Pública incluido el COVID19, de acuerdo a los lineamientos del Instituto Nacional de Salud
*Apoyar una (1) actualización del documento ASIS (Análisis de Situación de Salud)</t>
  </si>
  <si>
    <t>% de acciones de gestión integral PISPIC</t>
  </si>
  <si>
    <t>Elaborar el 100% de los lineamientos técnicos y operativos para la implementación de las estrategias, y actividades del Plan de Salud Pública y de Intervenciones Colectivas PISPIC, que permitan su seguimiento, monitoreo  y evaluación. En el marco de la resolución 518/2015, Resolución 3202/2016,  y la Resolución 3280/2018.</t>
  </si>
  <si>
    <t>% de elaboracion de lineamientos  tecnicos y operativos Plan de Salud Publica y de Intervenciones Colectivas PISPIC</t>
  </si>
  <si>
    <t>Realizar siete (7) seguimientos y Monitoreos anuales a la totalidad de las acciones del plan de intervenciones colectivas en salud publica, en el marco de la resolución 518/2015</t>
  </si>
  <si>
    <t>Actualizar 100% del Software de Gestion de la Informacion en salud, que permita incrementar la inteligencia sanitaria y salud publica, de la direccion local de salud,  en el municipio de Cartago (V), durante el periodo de gobierno.</t>
  </si>
  <si>
    <t>% de actualizacion del software de Gestionde la Informacion en Salud.</t>
  </si>
  <si>
    <t>Realizar el 100% de la actualizacion y soporte del software SISAP, para la gestion de la informacion de salud publica de la direccion local de salud</t>
  </si>
  <si>
    <t>% de actualizacion y soporte Sotware SISAP</t>
  </si>
  <si>
    <t>Servicio de información para las instituciones públicas prestadoras de salud y la dirección de la entidad territorial implementado</t>
  </si>
  <si>
    <t>Corresponde al proceso que mejora en la disposición de la información para asegurar que sea accesible, confiable y oportuna con respecto a los beneficiarios y pacientes por parte de las Instituciones Públicas Prestadoras de Servicios de Salud hacia la dirección territorial</t>
  </si>
  <si>
    <t>Sistema de información implementado</t>
  </si>
  <si>
    <t>Sostener una (1) actualización y soporte del software SISAP, para la administración de la información de la gestión de la salud publica en la Secretaría de Salud del Municipio de Cartago</t>
  </si>
  <si>
    <t>Contempla los servicios de actualización y mejoramiento de la infraestructura tecnológica, así como  diseño, desarrollo, implantación, mantenimiento y adecuación de sistemas de información orientados a la gestión de la inspección, vigilancia y control sanitario.</t>
  </si>
  <si>
    <t>Usuarios del sistema.</t>
  </si>
  <si>
    <t>2022761470080</t>
  </si>
  <si>
    <t>FORTALECIMIENTO DE LA INSPECCIÓN, VIGILANCIA Y CONTROL DE LA SALUD PÚBLICA CON ACTIVIDADES DE MANTENIMIENTO, SOPORTE Y ACTUALIZACIÓN DE LA PLATAFORMA SISAP DE LA SECRETARÍA DE SALUD EN EL MUNICIPIO DE CARTAGO ($26.876.000,00)</t>
  </si>
  <si>
    <t>11. SALUD PÚBLICA EN EMERGENCIAS Y DESASTRES</t>
  </si>
  <si>
    <t>Alcanzar el 100% de la implementacion de los lineamientos de la  Gestion Integral de Riesgos en Emergencias y Desastres en Salud, adoptados en el  Reglamento Sanitario Internacion RSI- 2005 OMS, y demas normas concordantes,  en el municipio de Cartago (V), durante el periodo de gobierno.</t>
  </si>
  <si>
    <t>% de Implementacion lineamientos de la  Gestion Integral de Riesgos en Emergencias y Desastres en Salud</t>
  </si>
  <si>
    <t>1. GESTION INTEGRAL DE EMERGENCIAS EN SALUD</t>
  </si>
  <si>
    <t xml:space="preserve">Implementar las estrategias y directrices,  que permitan reducir el riesgo de emergencias y  desastres actuales y futuras, ampliando las capacidades basicas de atencion, vigilancia y respuesta. </t>
  </si>
  <si>
    <t>Realizar el 100% de las acciones de la Gestion Integral de Riesgos en Emergencias y Desastres en Salud, para el municipio de cartago.</t>
  </si>
  <si>
    <t>% de cumplimiento de las acciones de Gestion Integral de Riesgos en Emergencias y Desastres en Salud</t>
  </si>
  <si>
    <t>Acciones de respuesta en salud ante situaciones de emergencias o desastres, dirigidas a gestionar la atención de las contingencias que puedan afectar la salud de la población y mitigar los efectos negativos a la salud humana</t>
  </si>
  <si>
    <t>Realizar dos (2) seguimientos a los planes de contingencia que permitan la planificación, gestión de las emergencias, capacidad de vigilancia y respuesta de las instituciones de salud, del municipio de Cartago</t>
  </si>
  <si>
    <t>% de migracion de CRAE a SEM</t>
  </si>
  <si>
    <t>Garantizar el 100% de la  operación del Sistema de Emergencias Medicas- SEM, operando las 24 horas de los 365 días del año.</t>
  </si>
  <si>
    <t>% de operación del Sistema de Emergencias Medicas-SEM.</t>
  </si>
  <si>
    <t>Infraestructura adecuada para la atención de eventos en salud pública  ante situaciones de emergencias y desastres. En sus instalaciones cuenta con central de comunicaciones, sala situacional, oficina de coordinación, centro de reserva (para almacenamiento de insumos y elementos de reserva para la red de prestadores de servicios de salud)</t>
  </si>
  <si>
    <t>* Garantizar el 100% de la operación general del centro regulador de ambulancias en el municipio de Cartago Valle
* Campaña de promoción de la salud y prevención de lesiones por pólvora
* Realizar una prestación del servicio de software para el desarrollo técnico de la plataforma de Georeferencionamiento para el centro regulador de ambulancias en el municipio de Cartago Valle</t>
  </si>
  <si>
    <t>12. PRESTACIÓN DE SERVICIOS A LA POBLACIÓN PBRE EN LO NO CUBIERTO CON SUBSIDIOS A LA DEMANDA</t>
  </si>
  <si>
    <t>Garantizar la atención al 100% de la Población Pobre No Afiliada – PPNA en los servicios de salud de acuerdo a la Ley 1955/2019 art.236, en el municipio de Cartago (V), durante el periodo de gobierno.</t>
  </si>
  <si>
    <t>% de atencion de la Población Pobre No Afiliada – PPNA atendida</t>
  </si>
  <si>
    <t>1. PRESTACION DE SERVICIOS DE SALUD A PPNA</t>
  </si>
  <si>
    <t>​Garantizar la atencion de urgencias a la población pobre no asegurada (PPNA), que no se encuentran afiliadas a los regímenes contributivo y subsidiado y que tampoco están cubiertas por los regímenes especiales y de excepción.</t>
  </si>
  <si>
    <t>Asumir el 100 % de los costos de la  prestacion de servicios de urgencias en el medio nivel de complejidad a la Población Pobre No Afiliada – PPNA, del municipio de cartago.</t>
  </si>
  <si>
    <t>% de los costos asumidos por la prestacion de servicios de Urgencias de Salud a la PPNA</t>
  </si>
  <si>
    <t>Garantizar el 100% de la atención de urgencias de la Población Pobre No Asegurada a través de la Red pública municipal</t>
  </si>
  <si>
    <t>13. GESTIÓN ADMINISTRATIVA Y OPERATIVA DE LA DLS</t>
  </si>
  <si>
    <t>Alcanzar el 100% de la asesoria juridica como apoyo a la gestion administrativa de la direccion local de salud, en el municipio de Cartago (V), durante el periodo de gobierno.</t>
  </si>
  <si>
    <t>% alcanzado de asesuria juridiaca</t>
  </si>
  <si>
    <t>1. GESTION ADMINISTRATIVA DE LA DLS</t>
  </si>
  <si>
    <t>Desarrollar proyectos de apoyo a la gestion administrativa de la direccion local de salud.</t>
  </si>
  <si>
    <t>Realizar el 100% de las acciones de asesoria legal y defensa juridica, de la direccion local de salud.</t>
  </si>
  <si>
    <t>% de cumplimiento de las acciones de asesoria legal y defensa juridica</t>
  </si>
  <si>
    <t xml:space="preserve"> Este servicio Asistencias técnicas en técnicas de análisis </t>
  </si>
  <si>
    <t>Realizar asesoría permanente en la defensa jurídica, elaboración de conceptos y documentos legales a la dirección local de salud</t>
  </si>
  <si>
    <t>7082.0</t>
  </si>
  <si>
    <t>83990 - Otros servicios profesionales, técnicos y empresariales n.c.p.</t>
  </si>
  <si>
    <t>Alcanzar el 100% de la verificación de la operación y cumplimiento normativo, mediante la aplicación de la Guía de Auditoria establecida por la SUPERSALUD, para las EAPBS-RS con presencia en el municipio de Cartago (V), durante el periodo de gobierno.</t>
  </si>
  <si>
    <t>% de verificacion operativa y cumplimiento normativo de las EAPB del Regimen Subsidiado</t>
  </si>
  <si>
    <t>Realizar el 100% de las acciones del Proceso de Inspección, Vigilancia y Seguimiento a las Entidades Administradoras de Beneficios (EAPB) del Regimen Subsidiado con presencia en el Municipio, de acuerdo a la normatividad legal y vigente.</t>
  </si>
  <si>
    <t>% de cumplimiento de las acciones Proceso de Inspección, Vigilancia y Seguimiento a las (EAPB) del Regimen Subsidiado.</t>
  </si>
  <si>
    <t>el servicio de auditoría y visitas inspectivas realizada para verificar el cumplimiento de los estándares y normatividad vigente</t>
  </si>
  <si>
    <t>* Realizar el cruce de la base de datos, (4) veces al año para identificar y priorizar la población no asegurada
* Aplicar el marco normativo para realizar auditorias a las EAPB, de acuerdo a lo indicado por la Supersalud
* Apoyar un (1) seguimiento anual al SGSSS en rendición de cuentas
* Realizar cuatro (4) auditorias anuales administrativas y financieras a la EPS-S del RSSSS y contributivo (Movilidad)
* Realizar doce (12) liquidaciones al año para el pago de los recursos al régimen subsidiado
* Depurar doce (12) veces al año la base de datos de la población afiliada al régimen subsidiado, actualizada con información precisa y completa</t>
  </si>
  <si>
    <t>14. INVERSIÓN EN LA RED PUBLICA</t>
  </si>
  <si>
    <t>Destinar el 100%  de los Excedentes de las cuentas maestras del regimen subsidiado, en inversión en el mejoramiento de la infraestructura y dotación de la red pública de Instituciones Prestadoras de Servicios de Salud, en el marco de la organización de la red de prestación de servicios, de acuerdo al Plan Bienal Ley 1608/2013 y Resolución 1756/2019, en el municipio de Cartago (V), durante el periodo de gobierno.</t>
  </si>
  <si>
    <t>% de recursos destinados para inversion en al Red Publica</t>
  </si>
  <si>
    <t>1. COOFINANCIACION PROYECTOS PLAN BIENAL DE SALUD</t>
  </si>
  <si>
    <t>Articular los proyectos de Inversion de Infraestructura Física y Dotación de Equipos Biomédicos de mejoramiento de la Prestación de Servicios de Salud de la Red publica a el Plan Bienal Departamental.</t>
  </si>
  <si>
    <t>Realizar el traslado del 100% de de los Excedentes de las cuentas maestras del Regimen Subsidiado, mediante  Convenio Interinstitucional y/o otra figura juridica, con la IPS Municipal, para inversión en el mejoramiento de la infraestructura y dotación de la red pública de Instituciones Prestadoras de Servicios de Salud, en el marco de la organización de la red de prestación de servicios,</t>
  </si>
  <si>
    <t>% de traslado de Excedentes de las cuentas maestras del Regimen Subsidiado</t>
  </si>
  <si>
    <t>Corresponde a la entrega de recursos financieros o en especie para la adquisición de equipos biomédicos, dispositivos médicos, mobiliario asistencial, mobiliario administrativo, equipos TIC, y equipos industriales de uso hospitalario, de acuerdo a la normatividad vigente en salud.</t>
  </si>
  <si>
    <t>6036.0</t>
  </si>
  <si>
    <t>4815001 - Instrumentos, aparatos y accesorios para medicina y cirugía</t>
  </si>
  <si>
    <t>2.3.2.01.01.003.06.01</t>
  </si>
  <si>
    <t>Aparatos médicos y quirúrgicos y aparatos ortésicos y protésicos</t>
  </si>
  <si>
    <t>PRODUCTO ADICIONADO</t>
  </si>
  <si>
    <t>Recursos monetarios entregados a las empresas sociales del estado para la reorganizacion de redes de prestacion de servicios de salud</t>
  </si>
  <si>
    <t>Empresas sociales del estado con apoyo financiero</t>
  </si>
  <si>
    <t>Fortalecer la prestacion de los servicios de salud en el puesto de salud CIP ubicado en el sector del parque de la salud, mediante la disponibilidad de la infraesrtructura fisisca necesaria para la atencion basica, cumpliendo los requisitos, estandares de calidad y de habilitacion para atender a la poblacion.</t>
  </si>
  <si>
    <t>2022761470084 (Vigencias Futuras 2022-2023)</t>
  </si>
  <si>
    <t>FORTALECIMIENTO DE LA INFRAESTRUCTURA HOSPITALARIA DE LA IPS MUNICIPAL PARA MEJORAR Y AMPLIAR LOS SERVICIOS DE SALUD EN EL MUNICIPIO DE CARTAGO ($950.220.007,00)</t>
  </si>
  <si>
    <t>TOTALES</t>
  </si>
  <si>
    <t>GRAN TOTAL</t>
  </si>
  <si>
    <t>Plan Financiero 2024 Categoria 2</t>
  </si>
  <si>
    <t>FINAL</t>
  </si>
  <si>
    <t>Diferencia</t>
  </si>
  <si>
    <t>Secretario de Planeación, Medio Ambiente y Desarrollo Economico</t>
  </si>
  <si>
    <t>Secretaria de Hacienda y Gestión Financiera</t>
  </si>
  <si>
    <t>DIMENSIÓN</t>
  </si>
  <si>
    <t xml:space="preserve"> SGP Salud 2022</t>
  </si>
  <si>
    <t>SGP PG OSE (Libre Inversión) 2022</t>
  </si>
  <si>
    <t>SGP Libre Destinación 42% Mpios 4, 5 y 6 Cat 2022</t>
  </si>
  <si>
    <t>Recursos Propios 2022</t>
  </si>
  <si>
    <t>FOSYGA 2022 (Nacional)</t>
  </si>
  <si>
    <t>Etesa (Coljuegos) 2022 (Departamental)</t>
  </si>
  <si>
    <t>Rentas Cedidas 2022</t>
  </si>
  <si>
    <t xml:space="preserve"> Rendimientos Financieros  2022</t>
  </si>
  <si>
    <t>Otros 2022</t>
  </si>
  <si>
    <t xml:space="preserve"> Total 2022</t>
  </si>
  <si>
    <t>Cantidad Programada año 2022</t>
  </si>
  <si>
    <t>Unidad de Medida</t>
  </si>
  <si>
    <t>Trimestre 1</t>
  </si>
  <si>
    <t>Trimestre 2</t>
  </si>
  <si>
    <t>Trimestre 3</t>
  </si>
  <si>
    <t>Trimestre 4</t>
  </si>
  <si>
    <t>Línea Operativa PDSP</t>
  </si>
  <si>
    <t>Categoría  Operativa PDSP</t>
  </si>
  <si>
    <t>Código Rubro Presupuestal</t>
  </si>
  <si>
    <t>C.RES</t>
  </si>
  <si>
    <t>PROGRAMA HOMOLOGACON PPTO.</t>
  </si>
  <si>
    <t>NOMBRE RUBRO (PRODUCTO HOMOLOGACION)</t>
  </si>
  <si>
    <t>FUENTE PPTO</t>
  </si>
  <si>
    <t>Fuente de Financiación</t>
  </si>
  <si>
    <t>Subcategoría Fuente de Financiación</t>
  </si>
  <si>
    <t>VR. ACTIVIDAD PRESUPUESTO DEFINITIVO 2023</t>
  </si>
  <si>
    <t>CONTRATO</t>
  </si>
  <si>
    <t>Componente FUT</t>
  </si>
  <si>
    <t xml:space="preserve">Codigo FUT Salud Pública </t>
  </si>
  <si>
    <t>Codigo Fut OTRO</t>
  </si>
  <si>
    <t>Código Sectorial (NUEVO)</t>
  </si>
  <si>
    <t>Nombre Código Sectorial (NUEVO)</t>
  </si>
  <si>
    <t>ENERO</t>
  </si>
  <si>
    <t>FEBRERO</t>
  </si>
  <si>
    <t>MARZO</t>
  </si>
  <si>
    <t>I TRIMESTRE
30 MARZO</t>
  </si>
  <si>
    <t>EVALUACION COMPONENTE DE EFICACIA OPERATIVA TRIMESTRAL %</t>
  </si>
  <si>
    <t>ABRIL</t>
  </si>
  <si>
    <t>MAYO</t>
  </si>
  <si>
    <t>JUNIO</t>
  </si>
  <si>
    <t>II TRIMESTRE
30 JUNIO</t>
  </si>
  <si>
    <t>JULIO</t>
  </si>
  <si>
    <t>AGOSTO</t>
  </si>
  <si>
    <t>SEPTIEMBRE</t>
  </si>
  <si>
    <t>III TRIMESTRE
30 SEPTIEMBRE</t>
  </si>
  <si>
    <t>OCTUBRE</t>
  </si>
  <si>
    <t>NOVIEMBRE</t>
  </si>
  <si>
    <t>DICIEMBRE</t>
  </si>
  <si>
    <t>IV TRIMESTRE
31 DICIEMBRE</t>
  </si>
  <si>
    <t>ACUMULADO 2023</t>
  </si>
  <si>
    <t>EVALUACION COMPONENTE DE EFICACIA OPERATIVA ACUMULADA %</t>
  </si>
  <si>
    <t>AVANCE OPERATIVO META PRODUCTO %</t>
  </si>
  <si>
    <t>PROMEDIO AVANCE OPERATIVO Y FINANCIERO POR META PRODUCTO %</t>
  </si>
  <si>
    <t>RECURSOS COMPROMETIDOS I TRIMESTRE
30 MARZO</t>
  </si>
  <si>
    <t>RECURSOS EJECUTADOS I TRIMESTRE
30 MARZO</t>
  </si>
  <si>
    <t>RECURSOS COMPROMETIDOS II TRIMESTRE
30 JUNIO</t>
  </si>
  <si>
    <t>RECURSOS EJECUTADOS II TRIMESTRE
30 JUNIO</t>
  </si>
  <si>
    <t>RECURSOS COMPROMETIDOS III TRIMESTRE 30 SEPTIEMBRE</t>
  </si>
  <si>
    <t>RECURSOS EJECUTADOS III TRIMESTRE 30 SEPTIEMBRE</t>
  </si>
  <si>
    <t>EVALUACION COMPONENTE DE EFICACIA FINANCIERA  %</t>
  </si>
  <si>
    <t>RECURSOS COMPROMETIDOS  IV TRIMESTRE 31 DICIEMBRE</t>
  </si>
  <si>
    <t>RECURSOS EJECUTADOS IV TRIMESTRE 31 DICIEMBRE</t>
  </si>
  <si>
    <t>ACUMULADO COMPROMETIDO 2023</t>
  </si>
  <si>
    <t>ACUMULADO EJECUTADO 2023</t>
  </si>
  <si>
    <t>AVANCE FINANCIERO META PRODUCTO %</t>
  </si>
  <si>
    <t xml:space="preserve">Total de Recursos Comprometidos
(en pesos) </t>
  </si>
  <si>
    <t>Recursos Comprometidos Trimestre 1 (en pesos)</t>
  </si>
  <si>
    <t>Recursos Comprometidos Trimestre 2 (en pesos)</t>
  </si>
  <si>
    <t>Recursos Comprometidos Trimestre 3 (en pesos)</t>
  </si>
  <si>
    <t>Recursos Comprometidos Trimestre 4 (en pesos)</t>
  </si>
  <si>
    <t xml:space="preserve">Total de Recursos Ejecutados/Obligados
(en pesos) </t>
  </si>
  <si>
    <t xml:space="preserve">Recursos Ejecutados/Obligados Trimestre 1 (en pesos) </t>
  </si>
  <si>
    <t>Recursos Ejecutados/Obligados Trimestre 2 (en pesos)</t>
  </si>
  <si>
    <t>Recursos Ejecutados/Obligados Trimestre 3 (en pesos)</t>
  </si>
  <si>
    <t>Recursos Ejecutados/Obligados Trimestre 4 (en pesos)</t>
  </si>
  <si>
    <t>****</t>
  </si>
  <si>
    <t>JULIO SE REGISTRA EN AGOSTO</t>
  </si>
  <si>
    <t>AGOSTO SE REGISTRA EN SEP</t>
  </si>
  <si>
    <t>INCREMENTO</t>
  </si>
  <si>
    <t>TIPO RECURSO</t>
  </si>
  <si>
    <t>% de cumplimiento de la cofinanciación al RS</t>
  </si>
  <si>
    <t>Fortalecimiento de la autoridad sanitaria para la gestión en salud</t>
  </si>
  <si>
    <t>Gestión de la salud pública</t>
  </si>
  <si>
    <t>GSP- Gestión del Aseguramiento</t>
  </si>
  <si>
    <t xml:space="preserve">2.3.2.02.02.009.1906004.19.01.11.91122.21.01.069      </t>
  </si>
  <si>
    <t>1906. ASEGURAMIENTO Y CONTROL DE L SALUD</t>
  </si>
  <si>
    <t>SGP REGIMEN SUBSIDIADO SSF</t>
  </si>
  <si>
    <t>1. Recursos Provenientes del Sistema General de Participaciones (SGP), los estimará el MSPS a cada Entidad Territorial conforme  a la Ley 715 de 2001</t>
  </si>
  <si>
    <t>SGP - Régimen Subsidiado Vigencia Actual</t>
  </si>
  <si>
    <t>ASEGURAMIENTO</t>
  </si>
  <si>
    <t>Aseguramiento de la Poblacion,  SGSSS Regimen Subsidiado</t>
  </si>
  <si>
    <t>A.2.1.1</t>
  </si>
  <si>
    <t>19.01.11</t>
  </si>
  <si>
    <t>REGIMEN SUBSIDIADO DE SALUD, TRANSFERENCIAS AFILIACION</t>
  </si>
  <si>
    <t xml:space="preserve">2.3.2.02.02.009.1906004.19.01.11.91122.21.01.065      </t>
  </si>
  <si>
    <t>FOSYGA SSF</t>
  </si>
  <si>
    <t>6. FOSYGA (% destinado a Entidad Territorial)</t>
  </si>
  <si>
    <t>Subcuenta de solidaridad</t>
  </si>
  <si>
    <t xml:space="preserve">2.3.2.02.02.009.1906004.19.01.11.91122.21.01.070
2.3.2.02.02.009.1906004.19.01.11.91122.21.01.331      </t>
  </si>
  <si>
    <t>398  - 516</t>
  </si>
  <si>
    <t>COLJUEGOS SSF</t>
  </si>
  <si>
    <t>3. Rentas cedidas DPTO</t>
  </si>
  <si>
    <t>Recursos transferidos por COLJUEGOS o ETESA en liquidación al Departamento-Monopolio de juegos de suerte y azar</t>
  </si>
  <si>
    <t>2.3.2.02.02.009.1906004.19.01.11.91122.21.01.066      
2.3.2.02.02.009.1906004.19.01.11.91122.21.01.328</t>
  </si>
  <si>
    <t>401  -517</t>
  </si>
  <si>
    <t>RENTAS CEDIDAS SSF</t>
  </si>
  <si>
    <t>3. Rentas cedidas (coljuegos SSF)</t>
  </si>
  <si>
    <t>IVA cedido de licores, vinos y aperitivos destinado a salud (IVA licores 100% salud; vinos, aperitivos y similares 70% salud)</t>
  </si>
  <si>
    <t>Realizar  el 100% de las acciones de la estrategia de promoción a la afiliación al SGSSS de la población No Asegurada para garantizar la cobertura de afiliación,  en el municipio de Cartago (V), cada año durante el periodo de gobierno.</t>
  </si>
  <si>
    <t>% de cumplimiento de las acciones estrategia de afiliación al SGSSS</t>
  </si>
  <si>
    <t>Realizar el 100% de las acciones de focalización y captación de población no asegurada para posterior afiliación al Régimen Subsidiado.</t>
  </si>
  <si>
    <t>Porcentaje</t>
  </si>
  <si>
    <t xml:space="preserve">2.3.2.02.02.009.1906004.19.01.11.91122.21.01.071      </t>
  </si>
  <si>
    <t>COLJUEGOS CSF</t>
  </si>
  <si>
    <t>3. Rentas cedidas (coljuegos csf)</t>
  </si>
  <si>
    <t>Apoyar al 100% de la gestión y reporte de los Listados Censales.</t>
  </si>
  <si>
    <t>Realizar el 100 % de giros de los recursos del 0.4% del monto total del régimen subsidiado con destino a la supersalud, en el municipio de Cartago (V), cada año durante el periodo de gobierno.</t>
  </si>
  <si>
    <t>Mantener doce (12) giros mensuales de los recursos del 0.4% del monto total del régimen subsidiado con destino a la supersalud.</t>
  </si>
  <si>
    <t xml:space="preserve">2.3.2.02.02.009.1906004.19.01.13.91122.21.01.067      
2.3.2.02.02.009.1906004.19.01.13.91122.21.01.333 </t>
  </si>
  <si>
    <t>399
519</t>
  </si>
  <si>
    <t>REC IVC SUPERSALUD 0,4% SSF</t>
  </si>
  <si>
    <t>IVC-Supersalud</t>
  </si>
  <si>
    <t>A.2.1.4</t>
  </si>
  <si>
    <t>GARANTIZAR LA CERTIFICACION DE LAS PERSONAS CON DISCAPACIDAD RESIDENTES EN EL MUNICIPIO DE CARTAGO, SIGUIENDO LOS LINEAMIENTOS DE LA NORMATIVIDAD VIGENTE</t>
  </si>
  <si>
    <t>CERTIFICACION DISCAPACIDAD</t>
  </si>
  <si>
    <t>GESTION DIFERENCIAL DE POBLACIONES VULNERABLES - NIÑ@S</t>
  </si>
  <si>
    <t>A.2.2.22.1</t>
  </si>
  <si>
    <t>NO SE HIZO</t>
  </si>
  <si>
    <t>Implementar las estrategias y directrices poblacionales, colectivas e individuales, que permitan intervenir los determinantes ambientales y sanitarios de la salud, relacionados con factores ambientales y  riesgo biológico asociados a la tenencia de animales de producción y compañía.</t>
  </si>
  <si>
    <t>Salud ambiental</t>
  </si>
  <si>
    <t>GESTION DE LA SALUD PUBLICA</t>
  </si>
  <si>
    <t>GSP-GESTION DE LAS INTERVENCIONES COLECTIVAS</t>
  </si>
  <si>
    <t xml:space="preserve">2.3.2.02.02.009.1905024.19.02.12.91122.21.01.057      </t>
  </si>
  <si>
    <t>1905. SALUD PUBLICA</t>
  </si>
  <si>
    <t>SGP SALUD PUBLICA</t>
  </si>
  <si>
    <t>SGP - Salud Pública Vigencia Actual</t>
  </si>
  <si>
    <t>FORTALECIMIENTO-TENENCIA DE MASCOTAS</t>
  </si>
  <si>
    <t>AMBIENTAL-PROMOCIÓN DE LA SALUD (Habitat saludable)</t>
  </si>
  <si>
    <t>A.2.2.15.1</t>
  </si>
  <si>
    <t>19.02.11</t>
  </si>
  <si>
    <t>SALUD PUBLICA COLECTIVA, SALUD AMBIENTAL, PROMOCION DE LA SALUD</t>
  </si>
  <si>
    <t>Realizar el 100% de las acciones de la estrategias de la política-integral salud ambiental, en el municipio de Cartago (V), cada año durante el periodo de gobierno.</t>
  </si>
  <si>
    <t>% de cumplimiento de las acciones estrategias de la política-integral salud ambiental</t>
  </si>
  <si>
    <t>PROMOCION DE LA SALUD</t>
  </si>
  <si>
    <t>PIC- EDUCACION Y COMUNICACIÓN EN SALUD</t>
  </si>
  <si>
    <t xml:space="preserve">2.3.2.02.02.009.1905024.19.02.11.91122.21.01.057      </t>
  </si>
  <si>
    <t>PIC</t>
  </si>
  <si>
    <t>% de ejecución del convenio interadministrativo</t>
  </si>
  <si>
    <t xml:space="preserve">Gestión de la Salud Pubica </t>
  </si>
  <si>
    <t>GSP- Vigilancia en salud pública</t>
  </si>
  <si>
    <t xml:space="preserve">2.3.2.02.02.009.1905024.19.02.11.91122.21.01.341      </t>
  </si>
  <si>
    <t>RBA RP Rifas (Dest. Espec)</t>
  </si>
  <si>
    <t>RECURSOS DEL ESFUERZO PROPIO TERRITORIAL</t>
  </si>
  <si>
    <t>Recursos del balance</t>
  </si>
  <si>
    <t>CENTRO BTAR ANIMAL</t>
  </si>
  <si>
    <t>AMBIENTAL-GESTION DEL RIESGO (Condiciones ambientales)</t>
  </si>
  <si>
    <t>A.2.2.15.2</t>
  </si>
  <si>
    <t>19.02.12</t>
  </si>
  <si>
    <t>SALUD PUBLICA COLECTIVA, SALUD AMBIENTAL, GESTION DE RIESGO</t>
  </si>
  <si>
    <t xml:space="preserve">2.3.2.02.02.009.1905024.19.02.11.91122.21.01.342      </t>
  </si>
  <si>
    <t xml:space="preserve">RBA RECURSOS PROPIOS </t>
  </si>
  <si>
    <t>Realizar el 100% de las acciones de la  estrategia de gestión integrada EGI-Zoonosis.</t>
  </si>
  <si>
    <t>Atender el 100% de las queja relacionadas con animales.</t>
  </si>
  <si>
    <t>N/D</t>
  </si>
  <si>
    <t>GSP-VIGILANCIA EN SALUD PUBLICA</t>
  </si>
  <si>
    <t xml:space="preserve">2.3.2.02.02.009.1903011.19.02.65.91122.21.01.057      </t>
  </si>
  <si>
    <t>1903. INSPECCION, VIGILANCIA Y CONTROL</t>
  </si>
  <si>
    <t>FORTALECIMIENTO  (STEVEN)</t>
  </si>
  <si>
    <t>GESTIÓN DEL RIESGO (SITUACIONES DE SALUD RELACIONADAS CON CONDICIONES AMBIENTALES)</t>
  </si>
  <si>
    <t>19.02.65</t>
  </si>
  <si>
    <t>SALUD PUBLICA COLECTIVA, FORTALECIMIENTO DE LA AUTORIDAD SANITARIA</t>
  </si>
  <si>
    <t>Implementar las estrategias y directrices, que permitan crear condiciones para el desarrollo redes de apoyo para el empoderamiento a través de aptitudes personales, y de una cultura de corresponsabilidad social, que promueva y proteja la salud.</t>
  </si>
  <si>
    <t>Vida saludable y condiciones no transmisibles</t>
  </si>
  <si>
    <t>PIC- Educación y comunicación en salud</t>
  </si>
  <si>
    <t xml:space="preserve">2.3.2.02.02.009.1905031.19.02.26.91122.21.01.057      </t>
  </si>
  <si>
    <t xml:space="preserve">PIC </t>
  </si>
  <si>
    <t>CONDICIONES NO TRANSMISIBLES-PROMOCIÓN DE LA SALUD (Estilos de vida saludable)</t>
  </si>
  <si>
    <t>A.2.2.16.1</t>
  </si>
  <si>
    <t>19.02.26</t>
  </si>
  <si>
    <t>SALUD PUBLICA COLECTIVA, VIDA SALUDABLE Y CONDICIONES TRASMISIBLES, PROMOCION DE LA SALUD</t>
  </si>
  <si>
    <t>Gestión de riesgo en salud</t>
  </si>
  <si>
    <t>Implementar las estrategias y directrices, de seguimiento a la capacidad de respuesta institucional de los actores del SGSSS en la gestión de servicios de salud individuales y colectivos, así como sus servicios socio-sanitarios para la prevención, control, intervención y atención integral  de enfermedades crónicas y alteraciones de la salud visual y auditiva.</t>
  </si>
  <si>
    <t>% de IPS con seguimiento en el abordaje integral de Enfermedades crónicas no trasmisibles</t>
  </si>
  <si>
    <t>RIESGO EN SALUD</t>
  </si>
  <si>
    <t xml:space="preserve">2.3.2.02.02.009.1905031.19.02.27.91122.21.01.057      </t>
  </si>
  <si>
    <t>CONDICIONES NO TRANSMISIBLES- GESTIÓN DEL RIESGO (cronicas prevalentes)</t>
  </si>
  <si>
    <t>A.2.2.16.2</t>
  </si>
  <si>
    <t>19.02.27</t>
  </si>
  <si>
    <t>SALUD PUBLICA COLECTIVA, VIDA SALUDABLE Y CONDICIONES TRASMISIBLES, GESTION DE RIESGO</t>
  </si>
  <si>
    <t>Implementar las estrategias y directrices, de construcción, participación y acción transectorial y comunitaria, de promoción  de la salud mental,  los trastornos mentales y sus eventos asociados, incluyendo el consumo de sustancias psicoactivas, que contribuyan  al bienestar, al desarrollo humano y social en todas las etapas del ciclo de vida, con equidad y enfoque diferencial, en los territorios cotidianos, en la población general y poblaciones en riesgos específicos que facilite o promueva la reinserción social y personal.</t>
  </si>
  <si>
    <t>Realizar el 100% de las acciones de la Política Nacional de Salud Mental, y la Política Integral para la Prevención y Atención del Consumo de Sustancias Psicoactiva.</t>
  </si>
  <si>
    <t>% de cumplimiento de las acciones de Política Nacional de Salud Mental, y la Política Integral para la Prevención y Atención del Consumo de Sustancias Psicoactiva</t>
  </si>
  <si>
    <t>Convivencia social y salud mental</t>
  </si>
  <si>
    <t xml:space="preserve">2.3.2.02.02.009.1905022.19.02.17.91122.21.01.057      </t>
  </si>
  <si>
    <t>MENTAL-PROMOCION DE LA SALUD (Salud mental y Convivencia)</t>
  </si>
  <si>
    <t>A.2.2.17.1</t>
  </si>
  <si>
    <t>19.02.17</t>
  </si>
  <si>
    <t>SALUD PUBLICA COLECTIVA, CONVIVENCIA SOCIAL Y SALUD MENTAL, PROMOCION DE LA SALUD</t>
  </si>
  <si>
    <t xml:space="preserve">2.3.2.02.02.009.1905022.19.02.17.91122.21.01.057 </t>
  </si>
  <si>
    <t>Implementar las estrategias y directrices, de gestión  y ampliación de oferta institucional, para garantizar la atención integral  a los problemas y trastornos mentales, eventos asociados a la violencia familiar, de genero, escolar entre pares, suicidio y otros eventos emergentes que permitan disminuir el impacto de la carga de la enfermedad, de quienes lo requieran, y permitan prevenir la cronificación y el deterioro, y mitigar daños evitables en la población.</t>
  </si>
  <si>
    <t>2.3.2.02.02.009.1905022.19.02.18.91122.21.01.057</t>
  </si>
  <si>
    <t>MENTAL-GESTION DEL RIESGO (Trastornos mentales y spa)</t>
  </si>
  <si>
    <t>A.2.2.17.2</t>
  </si>
  <si>
    <t>19.02.18</t>
  </si>
  <si>
    <t>SALUD PUBLICA COLECTIVA, CONVIVENCIA SOCIAL Y SALUD MENTAL, GESTION DE RIESGO</t>
  </si>
  <si>
    <t xml:space="preserve">2.3.2.02.02.009.1905022.19.02.18.91122.21.01.057      </t>
  </si>
  <si>
    <t>PIC - Conformación y fortalecimiento de redes sociales, comunitarias, sectoriales e intersectoriales</t>
  </si>
  <si>
    <t>Implementar las estrategias y directrices, que buscan empoderar a la población en la selección adecuada de alimentos y la practica de hábitos alimentarios saludables, que permitan mantener un estado de salud y nutricional adecuado.</t>
  </si>
  <si>
    <t>Realizar el 100% de las acciones de la estrategia de seguridad nutricional y prevención de malos hábitos alimenticios.</t>
  </si>
  <si>
    <t>% de cumplimiento de las acciones de la estrategia de seguridad nutricional y prevención de malos hábitos alimenticios.</t>
  </si>
  <si>
    <t>Seguridad alimentaria y nutricional</t>
  </si>
  <si>
    <t xml:space="preserve">2.3.2.02.02.009.1905028.19.02.20.91122.21.01.057      </t>
  </si>
  <si>
    <t>NUTRICIONAL - PROMOCION DE LA SALUD (Consumo y aprovechamiento biológico de alimentos)</t>
  </si>
  <si>
    <t>A.2.2.18.1</t>
  </si>
  <si>
    <t>19.02.20</t>
  </si>
  <si>
    <t>SALUD PUBLICA COLECTIVA, SEGURIDAD ALIMENTARIA Y NUTRICIONAL, PROMOCION DE LA SALUD</t>
  </si>
  <si>
    <t>Implementar las estrategias y directrices, que contribuyan a la prevención de la desnutrición y  la obesidad, con el propósito de prevenir el riesgo de padecer a edades tempranas enfermedades como la diabetes o enfermedades cardiovasculares, en especial en la población infantil.</t>
  </si>
  <si>
    <t>Realizar seguimiento al 100% de las IPS del municipio, en  el componente de salud nutricional  desde la estrategia de atención primaria en salud, para toda la población en especial  a niños menores de 5 años y madres gestantes.</t>
  </si>
  <si>
    <t xml:space="preserve">2.3.2.02.02.009.1905028.19.02.21.91122.21.01.057      </t>
  </si>
  <si>
    <t>NUTRICIONAL - GESTION DEL RIESGO (Calidad e inocuidad de los alimentos)</t>
  </si>
  <si>
    <t>A.2.2.18.2</t>
  </si>
  <si>
    <t>19.02.21</t>
  </si>
  <si>
    <t>SALUD PUBLICA COLECTIVA, SEGURIDAD ALIMENTARIA Y NUTRICIONAL, GESTION DE RIESGO</t>
  </si>
  <si>
    <t>Implementar las estrategias y directrices, que garanticen el ejercicio de derechos relacionados con la sexualidad y la reproducción, libre de violencias, en un marco de igualdad, libertad, autonomía y no discriminación por motivos de sexo, edad, etnia, orientación sexual o identidad de generao, discapacidad, religión o ser victima del conflicto armado.</t>
  </si>
  <si>
    <t>Sexualidad, derechos sexuales y reproductivos</t>
  </si>
  <si>
    <t xml:space="preserve">2.3.2.02.02.009.1905021.19.02.23.91122.21.01.057      </t>
  </si>
  <si>
    <t>SEXUAL- PROMOCION DE LA SALUD (Equidad de género)</t>
  </si>
  <si>
    <t>A.2.2.19.1</t>
  </si>
  <si>
    <t>19.02.23</t>
  </si>
  <si>
    <t>SALUD PUBLICA COLECTIVA, SEXUALIDAD, DERECHOS SEXUALES Y REPRODUCTIVOS, PROMOCION DE LA SALUD</t>
  </si>
  <si>
    <t>Realizar el 100% de la olimpiada de salud sexual y reproductiva, con énfasis a la prevención del embarazo y deberes y derechos sexuales.</t>
  </si>
  <si>
    <t>Promoción de la salud</t>
  </si>
  <si>
    <t>PIC - Educación y comunicación en salud</t>
  </si>
  <si>
    <t>Implementar las estrategias y directrices, para garantizar el acceso a servicios integrales en salud sexual y reproductiva de la población, para la atención preconceptual, prenatal, del parto y la prevención del aborto inseguro, la deteccion de factores de riesgo que inciden en la infecciones de trasmisión sexual ITS-VIH/SIDA, con énfasis en poblaciones en contextos de mayor vulnerabilidad, en especial  en la población de adolescentes y jóvenes, en el marco de la atención oportuna del sistema obligatorio de garantía y calidad de atención primaria en salud.</t>
  </si>
  <si>
    <t>PIC-CONFORMACION Y FORTALECIMIENTO DE REDES SOCIALES, COMUNITARIAS, SECTORIALES E EINTERSECTORIALES</t>
  </si>
  <si>
    <t xml:space="preserve">2.3.2.02.02.009.1905021.19.02.24.91122.21.01.057      </t>
  </si>
  <si>
    <t>SEXUAL - GESTION DEL RIESGO (Atencion integral en SSR desde un enfoque de derechos)</t>
  </si>
  <si>
    <t>A.2.2.19.2</t>
  </si>
  <si>
    <t>19.02.24</t>
  </si>
  <si>
    <t>SALUD PUBLICA COLECTIVA, SEXUALIDAD, DERECHOS SEXUALES Y REPRODUCTIVOS, GESTION DE RIESGO</t>
  </si>
  <si>
    <t>Implementar las estrategias y directrices, para garantizar el acceso a servicios integrales en salud sexual y reproductiva de la población, para la atención preconceptual, prenatal, del parto y la prevención del aborto inseguro, la detección de factores de riesgo que inciden en la infecciones de trasmisión sexual ITS-VIH/SIDA, con énfasis en poblaciones en contextos de mayor vulnerabilidad, en especial  en la población de adolescentes y jóvenes, en el marco de la atención oportuna del sistema obligatorio de garantía y calidad de atención primaria en salud.</t>
  </si>
  <si>
    <t xml:space="preserve">2.3.2.02.02.009.1905021.19.02.24.91122.21.02.057      </t>
  </si>
  <si>
    <t>Implementar las estrategias y directrices, sectoriales, transectoriales y comunitarias tendientes a prevenir, controlar y minimizar los riesgos de mortalidad,  morbilidad y discapacidad prevenibles por vacunas en niños menores de cinco años, así como promover su adecuado crecimiento y desarrollo, mediante acceso a servicios de salud  y la atención integrada a las enfermedades prevalentes de la infancia AIEPI.</t>
  </si>
  <si>
    <t>Vida saludable y enfermedades transmisibles</t>
  </si>
  <si>
    <t xml:space="preserve">2.3.2.02.02.009.1905026.19.02.42.91122.21.01.057      </t>
  </si>
  <si>
    <t>ENFERMEDADES TRANSMISIBLES- GESTION DEL RIESGO (Pai)</t>
  </si>
  <si>
    <t>A.2.2.20.1</t>
  </si>
  <si>
    <t>19.02.42</t>
  </si>
  <si>
    <t>SALUD PUBLICA COLECTIVA, OTRAS ENFERMEDADES EMERGENTES, REEMERGENTES Y DESATENDIDAS, GESTION DE RIESGO</t>
  </si>
  <si>
    <t xml:space="preserve">2.3.2.02.02.009.1905026.19.02.48.91122.21.01.329      </t>
  </si>
  <si>
    <t xml:space="preserve">Servicio de gestión del riesgo para enfermedades emergentes, reemergentes y desatendidas                                                                                                                </t>
  </si>
  <si>
    <t>RBA SGP SALUD PUBLICA</t>
  </si>
  <si>
    <t>PIC-RBA SGP SALUD PUBLICA 2022 CTA MESTRA (MANTENIMIENTO CAVA)</t>
  </si>
  <si>
    <t>Implementar las estrategias y directrices sectoriales, transectoriales y comunitarias, que permitan la promoción, prevención, vigilancia y control, de las enfermedades trasmitidas por vía aérea y de contacto directo, por vectores ETV,  o infecciosas consideradas  emergentes, remergentes y desatendidas.</t>
  </si>
  <si>
    <t>Realizar el 100% de las acciones del Programa Nacional de Prevención y Control de la Tuberculosis- PNPCT.</t>
  </si>
  <si>
    <t>% de cumplimiento de las acciones Programa Nacional de Prevención y Control de la Tuberculosis- PNPCT</t>
  </si>
  <si>
    <t xml:space="preserve">2.3.2.02.02.009.1905026.19.02.33.91122.21.01.057      </t>
  </si>
  <si>
    <t>ENFERMEDADES TRANSMISIBLES- GESTION DEL RIESGO (Tuberculosis)</t>
  </si>
  <si>
    <t>A.2.2.20.2.1</t>
  </si>
  <si>
    <t>19.02.33</t>
  </si>
  <si>
    <t>SALUD PUBLICA COLECTIVA, TUBERCULOSIS SGP U OTRAS FUENTES , GESTION DE RIESGO</t>
  </si>
  <si>
    <t>Realizar el 100% de las acciones de la  estrategia de gestión integrada EGI-ETV.</t>
  </si>
  <si>
    <t xml:space="preserve">2.3.2.02.02.009.1905026.19.02.48.91122.21.01.057      </t>
  </si>
  <si>
    <t>ENFERMEDADES TRANSMISIBLES- GESTIÓN DEL RIESGO-  (Vectores ETV)</t>
  </si>
  <si>
    <t>A.2.2.20.3.1</t>
  </si>
  <si>
    <t>19.02.48</t>
  </si>
  <si>
    <t>SALUD PUBLICA COLECTIVA, ENFERMEDADES TRANSMITIDAS POR VECTORES SGP U OTRAS FUENTES, GESTION DE RIESGO</t>
  </si>
  <si>
    <t>PIC-PREVENCION Y CONTROL DE VECTORES</t>
  </si>
  <si>
    <t xml:space="preserve">2.3.2.02.02.009.1903011.19.02.65.91122.21.01.330      </t>
  </si>
  <si>
    <t xml:space="preserve">RBA COLJUEGOS CSF                                          </t>
  </si>
  <si>
    <t>PROYECTO INVERSION (UES)</t>
  </si>
  <si>
    <t xml:space="preserve">2.3.2.02.02.009.1905026.19.02.42.91122.21.02.057      </t>
  </si>
  <si>
    <t>ENFERMEDADES TRANSMISIBLES- GESTIÓN DEL RIESGO-  (Otras enfermedades reemergentes y desatendidas)</t>
  </si>
  <si>
    <t>A.2.2.20.2.3</t>
  </si>
  <si>
    <t>19.02.45</t>
  </si>
  <si>
    <t>SALUD PUBLICA COLECTIVA, ENFERMEDADES TRANSMITIDAS POR VECTORES TRANSFERENCIAS NACIONALES, GESTION DE RIESGO</t>
  </si>
  <si>
    <t xml:space="preserve">2.3.2.02.02.009.1905026.19.02.45.91122.21.01.071      </t>
  </si>
  <si>
    <t>PIC dr.navia</t>
  </si>
  <si>
    <t>GSP- Desarrollo de capacidades</t>
  </si>
  <si>
    <t>Implementar las estrategias y directrices, de sensibilización y apropiación en la generación de conciencia del propio trabajador informal en los lugares de trabajo, para aumentar el control sobre su salud física, salud emocional, y el bienestar a nivel familiar y comunitario.</t>
  </si>
  <si>
    <t>Realizar el 100% de las acciones de la estrategia de entorno laboral saludable con énfasis en la informalidad, ,para que los trabajadores informales  adopten una cultura preventiva, identifiquen y mitiguen los riesgos en sus en sus trabajos.</t>
  </si>
  <si>
    <t>% de cumplimiento de las acciones de la estrategia de entorno laboral saludable con énfasis en la informalidad</t>
  </si>
  <si>
    <t>Salud y ámbito laboral</t>
  </si>
  <si>
    <t>PIC- Intervención de la población trabajadora informal</t>
  </si>
  <si>
    <t xml:space="preserve">2.3.2.02.02.009.1905025.19.02.57.91122.21.01.057      </t>
  </si>
  <si>
    <t>LABORAL-PROMOCION DE LA SALUD (Seguridad y salud en el trabajo)</t>
  </si>
  <si>
    <t>A.2.2.21.1</t>
  </si>
  <si>
    <t>19.02.57</t>
  </si>
  <si>
    <t>SALUD PUBLICA COLECTIVA, SALUD Y AMBITO LABORAL, GESTION DE RIESGO</t>
  </si>
  <si>
    <t>PIC-INTERVENCION DE LA POBLACION TRABAJADORA INFORMAL</t>
  </si>
  <si>
    <t>Implementar las estrategias y directrices, intersectoriales y sectoriales orientadas a atender los determinantes particulares que con llevan a inequidades sanitarias persistentes en las poblaciones vulnerables, propendiendo por la disminución de brechas y enequidades sociales.</t>
  </si>
  <si>
    <t>Realizar el 100% de las acciones de la estrategia de atención integral en salud de las poblaciones especiales (de la infancia, niñez, discapacidad, Victimas del conflicto armado, grupos étnicos (afros e indígenas) y adulto mayor).</t>
  </si>
  <si>
    <t>% de cumplimiento de las acciones de la estrategia atención integral en salud de las poblaciones especiales</t>
  </si>
  <si>
    <t>Transversal gestión diferencial de poblaciones vulnerables</t>
  </si>
  <si>
    <t>1906 / CAMBIA A 1905</t>
  </si>
  <si>
    <t>Realizar cuatro (4) actividades intersectoriales de inclusión social, redes sociales comunitarias, sectoriales e intersectoriales con el propósito de alcanzar un objetivo común en respuesta a una situación determinada en salud publica en menores de 5 años.</t>
  </si>
  <si>
    <t>PIC- Conformación y fortalecimiento de redes sociales. Comunitarias, sectoriales e intersectoriales</t>
  </si>
  <si>
    <t xml:space="preserve">2.3.2.02.02.009.1905019.19.02.58.91122.21.01.057      </t>
  </si>
  <si>
    <t xml:space="preserve">Servicios de educacion informal en temas de salud publica                                                                                                           </t>
  </si>
  <si>
    <t>19.02.58</t>
  </si>
  <si>
    <t>SALUD PUBLICA COLECTIVA, GESTION DIFERENCIAL DE POBLACIONES VULNERABLES NNA, PROMOCION DE LA SALUD</t>
  </si>
  <si>
    <t>Intervenir (700) personas con discapacidad brindando actividades de estimulación, motricidad, coordinación, tiempo y espacio, fuerza muscular y estabilidad</t>
  </si>
  <si>
    <t>PIC-REHABILITACION BASADA EN LA COMUNIDAD</t>
  </si>
  <si>
    <t xml:space="preserve">2.3.2.02.02.009.1905019.19.02.61.91122.21.01.057      </t>
  </si>
  <si>
    <t>GESTION DIFERENCIAL DE POBLACIONES VULNERABLES -DISCAPACIDAD</t>
  </si>
  <si>
    <t>A.2.2.22.2</t>
  </si>
  <si>
    <t>19.02.61</t>
  </si>
  <si>
    <t>SALUD PUBLICA COLECTIVA, GESTION DIFERENCIAL DE POBLACIONES VULNERABLES DISCAPACIDAD, PROMOCION DE LA SALUD</t>
  </si>
  <si>
    <t>Realizar actividades relacionadas con rehabilitación basada en comunidad, orientadas a la población con discapacidad impactando 125 personas.</t>
  </si>
  <si>
    <t>Realizar el 100% de una (1) campaña de jornadas de sensibilización y socialización con la población en situación de discapacidad, al igual que inclusión y reincorporación a la vida laboral, donde se desarrollen capacidades para crear entornos saludables y acciones sectoriales, intersectoriales y comunitarias para reducir inequidades y a la afectación de los determinantes sociales de la salud de la población.</t>
  </si>
  <si>
    <t>Realizar capacitación a veinticinco (25) personas de los actores del SGSSS en lenguaje de señas colombianas (LSC), que permita la inclusión de personas en condición de discapacidad auditiva y habla, en los diferentes servicios de salud.</t>
  </si>
  <si>
    <t>Implementar el 100% de la estrategia que le permita a la población victima del conflicto armado desarrollar, capacidades, para adaptarse y superar situaciones adversas y/o afectaciones psicosociales.</t>
  </si>
  <si>
    <t xml:space="preserve">2.3.2.02.02.009.1905019.19.02.64.91122.21.01.057      </t>
  </si>
  <si>
    <t>GESTION DIFERENCIAL DE POBLACIONES VULNERABLES-VICTIMAS</t>
  </si>
  <si>
    <t>A.2.2.22.3</t>
  </si>
  <si>
    <t>19.02.64</t>
  </si>
  <si>
    <t>SALUD PUBLICA COLECTIVA, GESTION DIFERENCIAL DE POBLACIONES VULNERABLES VICTIMAS DEL CONFLICTO ARMADO, PROMOCION DE LA SALUD</t>
  </si>
  <si>
    <t xml:space="preserve">Implementar las estrategias y directrices, mediante  procesos dinámicos, integrales, sistemáticos y participativos, que bajo el liderazgo y conducción de la autoridad sanitaria, está orientado a que las políticas, planes, programas y proyectos de salud pública se realicen de manera efectiva, coordinada y organizada, entre los diferentes actores del Sistema de Salud, junto con otros sectores del Gobierno, de las organizaciones sociales y privadas y la comunidad, con el propósito de alcanzar óptimos resultados en salud.  
 </t>
  </si>
  <si>
    <t>Realizar el 100% de las acciones de la Política de Participación Social en Salud - PPSS, para contribuir al goce efectivo de los derechos de la salud, de la población del municipio de Cartago.</t>
  </si>
  <si>
    <t>% de cumplimiento de las acciones de la Política de Participación Social en Salud - PPSS</t>
  </si>
  <si>
    <t>GSP- Participación Social</t>
  </si>
  <si>
    <t xml:space="preserve">2.3.2.02.02.009.1903025.19.02.65.91122.21.01.071      </t>
  </si>
  <si>
    <t>FORTALECIMIENTO- PLAN TERRITORIAL DE SALUD</t>
  </si>
  <si>
    <t>GESTION EN SALUD PUBLICA- PLANEACION INTEGRAL EN SALUD</t>
  </si>
  <si>
    <t>A.2.2.23.1</t>
  </si>
  <si>
    <t>PARTICIPACION SOCIAL</t>
  </si>
  <si>
    <t>GSP - Inspección, Vigilancia y Control</t>
  </si>
  <si>
    <t xml:space="preserve">2.3.2.02.02.009.1903011.19.02.65.91122.21.02.057      </t>
  </si>
  <si>
    <t>FORTALECIMIENTO  (oscar y manuel)</t>
  </si>
  <si>
    <t>GESTION EN SALUD PUBLICA-VIGILANCIA EN SALUD PUBLICA</t>
  </si>
  <si>
    <t>A.2.2.23.2.4</t>
  </si>
  <si>
    <t xml:space="preserve">2.3.2.02.02.009.1903011.19.02.65.91122.21.02.032      </t>
  </si>
  <si>
    <t xml:space="preserve">SGP PG OTROS SECTORES                                      </t>
  </si>
  <si>
    <t>Recursos del Sgp- Propósito general de libre destinación</t>
  </si>
  <si>
    <t xml:space="preserve">2.3.2.02.02.009.1903011.19.02.65.93199.21.01.071      </t>
  </si>
  <si>
    <t xml:space="preserve">COLJUEGOS CSF                                                           </t>
  </si>
  <si>
    <t xml:space="preserve">2.3.2.02.02.009.1903011.91122.21.01.003               </t>
  </si>
  <si>
    <t xml:space="preserve">RECURSOS PROPIOS FORSOZA INVERSION                  </t>
  </si>
  <si>
    <t>Recursos del esfuerzo propio dptal, mpal destinados al sector salud</t>
  </si>
  <si>
    <t xml:space="preserve">2.3.2.02.02.009.1903016.19.02.65.91122.21.01.057      </t>
  </si>
  <si>
    <t>FORTALECIMIENTO I (TECNICO JORGE CASTAÑEDA)</t>
  </si>
  <si>
    <t>% de IPS con seguimiento en el cumplimiento de adherencia a las acciones y los protocoles de los eventos de interés en salud publica (Infecciones Respiratorias Agudas Graves -IRAG incluidas el COVID-19)</t>
  </si>
  <si>
    <t>GSP- Planeación integral en salud</t>
  </si>
  <si>
    <t>FORTALECIMIENTO  -ASIS</t>
  </si>
  <si>
    <t>FORTALECIMIENTO (PROFEF UNV 2 DANIELA)</t>
  </si>
  <si>
    <t>FORTALECIMIENTO capacitaciones</t>
  </si>
  <si>
    <t>% de elaboración de lineamientos  técnicos y operativos Plan de Salud Publica y de Intervenciones Colectivas PISPIC</t>
  </si>
  <si>
    <t>Realizar diez (10) seguimientos y Monitoreos anuales a la totalidad de las acciones del plan de intervenciones colectivas en salud pública, en el marco de la resolución 518/2015.</t>
  </si>
  <si>
    <t xml:space="preserve">2.3.2.02.02.009.1903011.19.02.65.91122.21.03.057      </t>
  </si>
  <si>
    <t>FORTALECIMIENTO  (Diana)</t>
  </si>
  <si>
    <t>GESTION EN SALUD PUBLICA-PROGRAMATICA DE LA SALUD</t>
  </si>
  <si>
    <t>A.2.2.23.3</t>
  </si>
  <si>
    <t>Realizar el 100% de la actualización y soporte del software SISAP, para la gestión de la información de salud publica de la dirección local de salud</t>
  </si>
  <si>
    <t>% de actualización y soporte Software SISAP</t>
  </si>
  <si>
    <t>Aseguramiento y Prestación integral de servicios de salud / INSPECCIÓN VIGILANCIA Y CONTROL</t>
  </si>
  <si>
    <t>Contempla los servicios de actualización y mejoramiento de la infraestructura tecnológica, así como  diseño, desarrollo, implantación, mantenimiento y adecuación de sistemas de información orientados a la gestión de la inspección, vigilancia y control sanitario</t>
  </si>
  <si>
    <t>GSP - Gestión del conocimiento</t>
  </si>
  <si>
    <t xml:space="preserve"> 
2.3.2.02.02.009.1903045.91122.21.02.330  </t>
  </si>
  <si>
    <t xml:space="preserve">
570</t>
  </si>
  <si>
    <t xml:space="preserve">Servicio de información para la gestión de la inspección, vigilancia y control sanitario                                                         </t>
  </si>
  <si>
    <t>FORTALECIMIENTO -APLICATIVO SISAP</t>
  </si>
  <si>
    <t>GESTION EN SALUD PUBLICA- GESTION DEL CONOCIMIENTO</t>
  </si>
  <si>
    <t>A.2.2.23.4</t>
  </si>
  <si>
    <t>SE PASO PARA FINANCIAR CON CON V.A DE COLJUEGOS</t>
  </si>
  <si>
    <t xml:space="preserve">Implementar las estrategias y directrices,  que permitan reducir el riesgo de emergencias y  desastres actuales y futuras, ampliando las capacidades básicas de atención, vigilancia y respuesta. </t>
  </si>
  <si>
    <t>Realizar el 100% de las acciones de la Gestión Integral de Riesgos en Emergencias y Desastres en Salud, para el municipio de Cartago.</t>
  </si>
  <si>
    <t>% de cumplimiento de las acciones de Gestión Integral de Riesgos en Emergencias y Desastres en Salud</t>
  </si>
  <si>
    <t>Salud pública en emergencias y desastres</t>
  </si>
  <si>
    <t xml:space="preserve">2.3.2.02.02.009.1905030.19.05.11.91122.21.01.071      </t>
  </si>
  <si>
    <t>CRAE</t>
  </si>
  <si>
    <t>OTROS GASTOS DE SALUD EN EMERGENCIAS Y DESASTRES</t>
  </si>
  <si>
    <t>A.2.4.2.14</t>
  </si>
  <si>
    <t>19.05.11</t>
  </si>
  <si>
    <t>OTROS GASTOS EN SALUD</t>
  </si>
  <si>
    <t>Garantizar el 100% de la  operación del Sistema de Emergencias Medicas- SEM, operando las
24 horas de los 365 días del año.</t>
  </si>
  <si>
    <t xml:space="preserve">2.3.2.02.02.009.1905005.93194.21.01.342               </t>
  </si>
  <si>
    <t>RBA RECURSOS PROPIOS</t>
  </si>
  <si>
    <t>POLVORA</t>
  </si>
  <si>
    <t>CRAE-sisfo</t>
  </si>
  <si>
    <t xml:space="preserve">2.3.2.02.02.009.1906004.19.03.11.91122.21.01.071      </t>
  </si>
  <si>
    <t>PPNA</t>
  </si>
  <si>
    <t>PRESTACION DE SERVICIOS A LA POBLACION NO ASEGURADA - MEDIO NIVEL DE COMPLEJIDAD</t>
  </si>
  <si>
    <t>A.2.3.1.2.3</t>
  </si>
  <si>
    <t>19.03.11</t>
  </si>
  <si>
    <t>PRESTACION DE SERVICIOS A LA POBLACION NO AFILIADA, EMPRESAS SOCIALES DEL ESTADO BAJO NIVEL DE COMPLEJIDAD</t>
  </si>
  <si>
    <t>Desarrollar proyectos de apoyo a la gestión administrativa de la dirección local de salud.</t>
  </si>
  <si>
    <t>Realizar el 100% de las acciones de asesoría legal y defensa jurídica, de la dirección local de salud.</t>
  </si>
  <si>
    <t>% de cumplimiento de las acciones de asesoría legal y defensa jurídica</t>
  </si>
  <si>
    <t>GSP- Gestión Administrativa y financiera</t>
  </si>
  <si>
    <t xml:space="preserve">2.3.2.02.02.009.1903034.19.05.11.91122.21.01.071      </t>
  </si>
  <si>
    <t>ASESORIA JURIDICA</t>
  </si>
  <si>
    <t>OTROS GASTOS EN SALUD - SERVICIOS TECNICOS  - JURIDICOS</t>
  </si>
  <si>
    <t>A.2.4.1.1.3.4</t>
  </si>
  <si>
    <t>Realizar el 100% de las acciones del Proceso de Inspección, Vigilancia y Seguimiento a las Entidades Administradoras de Beneficios (EAPB) del Régimen Subsidiado con presencia en el Municipio, de acuerdo a la normatividad legal y vigente.</t>
  </si>
  <si>
    <t>% de cumplimiento de las acciones Proceso de Inspección, Vigilancia y Seguimiento a las (EAPB) del Régimen Subsidiado.</t>
  </si>
  <si>
    <t>Realizar el cruce de la base de datos, (4) veces al año para identificar y priorizar la población no asegurada</t>
  </si>
  <si>
    <t xml:space="preserve">2.3.2.02.02.009.1903016.19.05.11.91122.21.01.071      </t>
  </si>
  <si>
    <t>AUDITORIAS EPS</t>
  </si>
  <si>
    <t>OTROS GASTOS EN SALUD - SERVICIOS TECNICOS - AUDITORIA EPS</t>
  </si>
  <si>
    <t>Realizar dos (2) auditorías al año a las EAPB del Régimen Subsidiado y Contributivo, en cuanto a la prestación del servicio, de acuerdo a la circular externa 001 del 2019 de la Supersalud.</t>
  </si>
  <si>
    <t xml:space="preserve">Realizar cuatro (4) auditorias anuales administrativas y financieras a la EPS-S del RSSSS y contributivo </t>
  </si>
  <si>
    <t>Depurar doce (12) veces al año la base de datos de la población afiliada al régimen subsidiado, actualizada con información precisa y completa.</t>
  </si>
  <si>
    <t xml:space="preserve">2.3.2.02.02.009.1903016.19.02.65.91122.21.01.342      </t>
  </si>
  <si>
    <t>Articular los proyectos de Inversión de Infraestructura Física y Dotación de Equipos Biomédicos de mejoramiento de la Prestación de Servicios de Salud de la Red publica a el Plan Bienal Departamental.</t>
  </si>
  <si>
    <t>Realizar el traslado del 100% de de los Excedentes de las cuentas maestras del Régimen Subsidiado, mediante  Convenio Interinstitucional y/o otra figura jurídica, con la IPS Municipal, para inversión en el mejoramiento de la infraestructura y dotación de la red pública de Instituciones Prestadoras de Servicios de Salud, en el marco de la organización de la red de prestación de servicios,</t>
  </si>
  <si>
    <t>% de traslado de Excedentes de las cuentas maestras del Régimen Subsidiado</t>
  </si>
  <si>
    <t>Realizar un (1) convenio para inversión en infraestructura o dotación de equipos biomédicos (Plan Bienal).</t>
  </si>
  <si>
    <t>GSP - Planeación Integral en Salud</t>
  </si>
  <si>
    <t xml:space="preserve">2.3.2.02.02.009.1906004.19.01.13.91122.21.01.335      </t>
  </si>
  <si>
    <t>RBA SGP SALUD REGIMEN SUBSIDIADO CSF</t>
  </si>
  <si>
    <t>7. Otros recursos dptales, y/o distritales</t>
  </si>
  <si>
    <t>Recursos provenientes de las cuenta maestras Regimen subsidiado ley 1608 de 2013</t>
  </si>
  <si>
    <t>REC CUENTA MAESTRA REG SUB</t>
  </si>
  <si>
    <t>OTROS GASTOS EN SALUD-INVERSIONES DIRECTAS EN LARED PUBLICA PLAN BIENAL EN EQUIPOS Y DOTACION</t>
  </si>
  <si>
    <t>A.2.4.2.8</t>
  </si>
  <si>
    <t>19.05.27</t>
  </si>
  <si>
    <t>OTROS GASTOS EN SALUD-INVERSIÓN REORGANIZACION DE REDES DE PRESTACIÓN DE SERVICIOS DE SALUD</t>
  </si>
  <si>
    <t xml:space="preserve">Servicio de apoyo financiero para financiación de obras de infraestructura social                                                                </t>
  </si>
  <si>
    <t>Fortalecer la prestación de los servicios de consulta externa, apoyo diagnóstico, complementario terapeutica, unidades de apoyo terapeutico y unidades de tratamiento en el puesto de salud CIP en el sector del parque de la salud, mediante la disponibilidad de la infraestructura fisica necesaria para la atención básica, cumpliendo los requisitos, estándares de calidad y de habilitación para atender a la población</t>
  </si>
  <si>
    <t xml:space="preserve">2.3.2.02.02.009.1906036.91122.21.01.001               </t>
  </si>
  <si>
    <t xml:space="preserve">Servicio de apoyo financiero para la reorganización de redes de prestación de servicios de salud                                                                                                        </t>
  </si>
  <si>
    <t xml:space="preserve">RECURSOS PROPIOS ICLD                                      </t>
  </si>
  <si>
    <t>Ingresos corrientes de Libre destinación</t>
  </si>
  <si>
    <t>PUESTO DE SALUD</t>
  </si>
  <si>
    <t>19.05.26</t>
  </si>
  <si>
    <t>PPTO INICIAL 2024</t>
  </si>
  <si>
    <t>SECTOR</t>
  </si>
  <si>
    <t>NOMBRE SECTOR</t>
  </si>
  <si>
    <t xml:space="preserve">PROGRAMA </t>
  </si>
  <si>
    <t>NOMBRE PROGRAMA</t>
  </si>
  <si>
    <t>PRODUCTO</t>
  </si>
  <si>
    <t>NOMBRE PRODUCTO</t>
  </si>
  <si>
    <t>CODIGO</t>
  </si>
  <si>
    <t>FUENTE</t>
  </si>
  <si>
    <t>NOMBRE FUENTE</t>
  </si>
  <si>
    <t>RESUM</t>
  </si>
  <si>
    <t>NOMBRE</t>
  </si>
  <si>
    <t>INICIAL</t>
  </si>
  <si>
    <t>19</t>
  </si>
  <si>
    <t>1903</t>
  </si>
  <si>
    <t>Inspeccion, vigilancia y control</t>
  </si>
  <si>
    <t>Servicio de inspeccion, vigilancia y control1903011</t>
  </si>
  <si>
    <t>2.3.2.02.02.009.1903011.19.02.65.21.02.001</t>
  </si>
  <si>
    <t>001</t>
  </si>
  <si>
    <t>RECURSOS PROPIOS ICLD</t>
  </si>
  <si>
    <t>384</t>
  </si>
  <si>
    <t>2.3.2.02.02.009.1903011.19.02.65.21.03.032</t>
  </si>
  <si>
    <t>032</t>
  </si>
  <si>
    <t xml:space="preserve">SGP PG OTROS SECTORES </t>
  </si>
  <si>
    <t>385</t>
  </si>
  <si>
    <t>2.3.2.02.02.009.1903011.19.02.65.21.04.057</t>
  </si>
  <si>
    <t>057</t>
  </si>
  <si>
    <t xml:space="preserve">SGP SALUD PUBLICA </t>
  </si>
  <si>
    <t>386</t>
  </si>
  <si>
    <t>2.3.2.02.02.009.1903011.19.02.65.21.05.057</t>
  </si>
  <si>
    <t>387</t>
  </si>
  <si>
    <t>2.3.2.02.02.009.1903011.19.02.65.21.06.057</t>
  </si>
  <si>
    <t>388</t>
  </si>
  <si>
    <t>1903016</t>
  </si>
  <si>
    <t>Servicio de auditoria y visitas inspectivas</t>
  </si>
  <si>
    <t>2.3.2.02.02.009.1903016.19.02.65.21.07.001</t>
  </si>
  <si>
    <t>389</t>
  </si>
  <si>
    <t>2.3.2.02.02.009.1903016.19.02.65.21.08.057</t>
  </si>
  <si>
    <t>390</t>
  </si>
  <si>
    <t>2.3.2.02.02.009.1903016.19.05.11.21.09.071</t>
  </si>
  <si>
    <t>071</t>
  </si>
  <si>
    <t>391</t>
  </si>
  <si>
    <t>1903025</t>
  </si>
  <si>
    <t>Servicio de implementacion de estrategias para el fortalecimiento del control social en salud</t>
  </si>
  <si>
    <t>2.3.2.02.02.009.1903025.19.02.65.21.10.057</t>
  </si>
  <si>
    <t>392</t>
  </si>
  <si>
    <t>2.3.2.02.02.009.1903025.19.02.65.21.11.071</t>
  </si>
  <si>
    <t>393</t>
  </si>
  <si>
    <t>1903034</t>
  </si>
  <si>
    <t>Servicio deasistencia tecnica</t>
  </si>
  <si>
    <t>2.3.2.02.02.009.1903034.19.05.11.21.12.071</t>
  </si>
  <si>
    <t>394</t>
  </si>
  <si>
    <t>1903045</t>
  </si>
  <si>
    <t>Servicio de informacion para la gestion de la inspeccion, vigilancia y control sanitario</t>
  </si>
  <si>
    <t>2.3.2.02.02.009.1903045.19.05.29.21.13.071</t>
  </si>
  <si>
    <t>395</t>
  </si>
  <si>
    <t>1905</t>
  </si>
  <si>
    <t>Salud Publica</t>
  </si>
  <si>
    <t>1905005</t>
  </si>
  <si>
    <t>2.3.2.02.02.009.1905005.19.05.29.21.14.001</t>
  </si>
  <si>
    <t>396</t>
  </si>
  <si>
    <t>1905019</t>
  </si>
  <si>
    <t>Servicio de educacion informal en temas de salud publica</t>
  </si>
  <si>
    <t>2.3.2.02.02.009.1905019.19.02.61.21.15.057</t>
  </si>
  <si>
    <t>397</t>
  </si>
  <si>
    <t>Servicios de educacion informal en temas de salud publica</t>
  </si>
  <si>
    <t>1905021</t>
  </si>
  <si>
    <t>Servicio de gestion del riesgo en temas de salud sexual y reproductiva</t>
  </si>
  <si>
    <t>2.3.2.02.02.009.1905021.19.02.23.21.16.057</t>
  </si>
  <si>
    <t>398</t>
  </si>
  <si>
    <t>2.3.2.02.02.009.1905021.19.02.24.21.17.057</t>
  </si>
  <si>
    <t>399</t>
  </si>
  <si>
    <t>2.3.2.02.02.009.1905021.19.02.24.21.18.057</t>
  </si>
  <si>
    <t>400</t>
  </si>
  <si>
    <t>1905022</t>
  </si>
  <si>
    <t>Servicio de gestion del riesgo en temas de trastornos mentales</t>
  </si>
  <si>
    <t>2.3.2.02.02.009.1905022.19.02.17.21.19.057</t>
  </si>
  <si>
    <t>401</t>
  </si>
  <si>
    <t>2.3.2.02.02.009.1905022.19.02.18.21.20.057</t>
  </si>
  <si>
    <t>402</t>
  </si>
  <si>
    <t>1905024</t>
  </si>
  <si>
    <t>Servicio de gestion del riesgo para abordar situaciones de salud relacionadas con condiciones ambientales</t>
  </si>
  <si>
    <t>2.3.2.02.02.009.1905024.19.02.11.21.21.001</t>
  </si>
  <si>
    <t>403</t>
  </si>
  <si>
    <t>2.3.2.02.02.009.1905024.19.02.11.21.22.003</t>
  </si>
  <si>
    <t>003</t>
  </si>
  <si>
    <t xml:space="preserve">RECURSOS PROPIOS FORSOZA INVERSION </t>
  </si>
  <si>
    <t>404</t>
  </si>
  <si>
    <t>2.3.2.02.02.009.1905024.19.02.11.21.23.057</t>
  </si>
  <si>
    <t>405</t>
  </si>
  <si>
    <t>1905025</t>
  </si>
  <si>
    <t>Servicio de gestion del riesgo para abordar situaciones prevalentes de origen laboral</t>
  </si>
  <si>
    <t>2.3.2.02.02.009.1905025.19.02.57.21.24.057</t>
  </si>
  <si>
    <t>406</t>
  </si>
  <si>
    <t>1905026</t>
  </si>
  <si>
    <t>Servicio de gestion del riesgo para enfermedades emergentes, reemergentes y desatendidas</t>
  </si>
  <si>
    <t>2.3.2.02.02.009.1905026.19.02.33.21.25.057</t>
  </si>
  <si>
    <t>407</t>
  </si>
  <si>
    <t>2.3.2.02.02.009.1905026.19.02.42.21.26.057</t>
  </si>
  <si>
    <t>408</t>
  </si>
  <si>
    <t>2.3.2.02.02.009.1905026.19.02.42.21.27.057</t>
  </si>
  <si>
    <t>409</t>
  </si>
  <si>
    <t>2.3.2.02.02.009.1905026.19.02.48.21.28.057</t>
  </si>
  <si>
    <t>410</t>
  </si>
  <si>
    <t>2.3.2.02.02.009.1905026.19.02.48.21.29.071</t>
  </si>
  <si>
    <t>411</t>
  </si>
  <si>
    <t>1905028</t>
  </si>
  <si>
    <t>Servicio de gestion del riesgo para temas de consumo, aprovechamiento biologico, calidad e inocuidad de los alimentos</t>
  </si>
  <si>
    <t>2.3.2.02.02.009.1905028.19.02.20.21.30.057</t>
  </si>
  <si>
    <t>412</t>
  </si>
  <si>
    <t>2.3.2.02.02.009.1905028.19.02.21.21.31.057</t>
  </si>
  <si>
    <t>413</t>
  </si>
  <si>
    <t>1905030</t>
  </si>
  <si>
    <t>Servicio de atencion en salud publica en situaciones de emergencias y desastres</t>
  </si>
  <si>
    <t>2.3.2.02.02.009.1905030.19.05.11.21.32.071</t>
  </si>
  <si>
    <t>414</t>
  </si>
  <si>
    <t>1905031</t>
  </si>
  <si>
    <t>Servicio de promocion de la salud y prevencion de riesgos asociados a condiciones no transmisibles</t>
  </si>
  <si>
    <t>2.3.2.02.02.009.1905031.19.02.26.21.33.057</t>
  </si>
  <si>
    <t>415</t>
  </si>
  <si>
    <t>2.3.2.02.02.009.1905031.19.02.27.21.34.057</t>
  </si>
  <si>
    <t>416</t>
  </si>
  <si>
    <t>Aseguramiento y prestacion integral de servicios de salud</t>
  </si>
  <si>
    <t>Servicio de atencion en salud a la poblacion</t>
  </si>
  <si>
    <t>2.3.2.02.02.009.1906004.19.01.11.21.35.065</t>
  </si>
  <si>
    <t>065</t>
  </si>
  <si>
    <t>417</t>
  </si>
  <si>
    <t>Servicio de atención en salud a la poblacion</t>
  </si>
  <si>
    <t>2.3.2.02.02.009.1906004.19.01.11.21.36.066</t>
  </si>
  <si>
    <t>066</t>
  </si>
  <si>
    <t>418</t>
  </si>
  <si>
    <t>2.3.2.02.02.009.1906004.19.01.11.21.37.069</t>
  </si>
  <si>
    <t>069</t>
  </si>
  <si>
    <t xml:space="preserve">SGP REGIMEN SUBSIDIADO </t>
  </si>
  <si>
    <t>419</t>
  </si>
  <si>
    <t>2.3.2.02.02.009.1906004.19.01.11.21.38.070</t>
  </si>
  <si>
    <t>070</t>
  </si>
  <si>
    <t xml:space="preserve">COLJUEGOS SSF </t>
  </si>
  <si>
    <t>420</t>
  </si>
  <si>
    <t>2.3.2.02.02.009.1906004.19.01.11.21.39.071</t>
  </si>
  <si>
    <t>421</t>
  </si>
  <si>
    <t>2.3.2.02.02.009.1906004.19.01.11.21.40.071</t>
  </si>
  <si>
    <t>422</t>
  </si>
  <si>
    <t>2.3.2.02.02.009.1906004.19.01.13.21.41.067</t>
  </si>
  <si>
    <t>067</t>
  </si>
  <si>
    <t>RECRUSOS IVC SUPERSAUD 0,4% SSF</t>
  </si>
  <si>
    <t>423</t>
  </si>
  <si>
    <t/>
  </si>
  <si>
    <t xml:space="preserve">TOTAL GENERAL </t>
  </si>
  <si>
    <t>Recursos propios 2024</t>
  </si>
  <si>
    <t xml:space="preserve"> SGP Salud 2024 (valores en pesos)</t>
  </si>
  <si>
    <t>SGP Libre Inversión 2024</t>
  </si>
  <si>
    <t>Cofinanciación Departamento 2024</t>
  </si>
  <si>
    <t>Cofinanciación Nación 2024</t>
  </si>
  <si>
    <t>Total  2024</t>
  </si>
  <si>
    <t>OK</t>
  </si>
  <si>
    <t>ok</t>
  </si>
  <si>
    <t xml:space="preserve">RECURSOS PROPIOS FORZOSA INVERSION </t>
  </si>
  <si>
    <t xml:space="preserve">OK </t>
  </si>
  <si>
    <t>2 CATEG</t>
  </si>
  <si>
    <t>REVISAR</t>
  </si>
  <si>
    <t>Registro para la localización y caracterización de las personas con discapacidad</t>
  </si>
  <si>
    <t xml:space="preserve">Se modifica la actividad de Listados Censales a Promoción de la afliación en Régimen Contributivo </t>
  </si>
  <si>
    <t xml:space="preserve">Se modifica la actividad de atención de urgencias de PPNA por no ser competencia del municipio </t>
  </si>
  <si>
    <t xml:space="preserve">Se modifican las actividades que estaban en la Dimensión Transversal de Población Vulnerable debido a la fuente de financiación que es SGP. Se ajusta la actividad de acuerdo al catálogo de producto: Servicio de educación informal en temas de salud pública. </t>
  </si>
  <si>
    <t>Educación informal en salud pública</t>
  </si>
  <si>
    <t>Garantizar la certificación de las personas con discapacidad residentes en el municipio de Cartago, siguiendo los lineamientos de la normatividad vigente. (Reporte trimestral de certificaciones realizadas)</t>
  </si>
  <si>
    <t>Realizar una (1) campañas de  focalización y captación de población no asegurada para posterior afiliación al Régimen Subsidiado.</t>
  </si>
  <si>
    <t>Realizar un (1) programa que promueva la afiliación al Régimen Subsidiado y Contributivo</t>
  </si>
  <si>
    <t>Realizar un (1) Programa de educación informal en temas de salud pública dirigida a población infantil del municipio</t>
  </si>
  <si>
    <t xml:space="preserve">Realizar un (1) Programa de educación informal en temas de salud pública dirigida a población en situación de discapacidad de la zona urbana </t>
  </si>
  <si>
    <t>Realizar dos  (2) campañas de promoción a la afiliación al Régimen Contributivo</t>
  </si>
  <si>
    <t xml:space="preserve">Realizar un (1) Programa de educación informal en temas de salud pública dirigida a población en situación de discapacidad de la zona rural </t>
  </si>
  <si>
    <t>Realizar un (1) Programa de educación informal en temas de salud laboral dirigida a personas en situación de discapacidad de la zona urbana</t>
  </si>
  <si>
    <t>Realizar un (1) Programa de educación informal en temas de salud laboral dirigida a personas en situación de discapacidad de la zona rural</t>
  </si>
  <si>
    <t>Realizar un (1) Programa de educación informal en temas de salud pública dirigida a población víctima del conflicto armado</t>
  </si>
  <si>
    <t>Realizar cuatro (4) Campañas que promuevan la tenencia responsable de mascotas.</t>
  </si>
  <si>
    <t>Realizar  ocho  (8) capacitaciones del cuidado, manejo y consumo responsable del recurso hídrico, para reducir los riesgos que afectan la calidad del agua de consumo humano.</t>
  </si>
  <si>
    <t>Realizar diez (10) seguimientos y Monitoreos anuales a la totalidad de las acciones del plan de intervenciones colectivas en salud pública, en el marco de la normatividad vigente en salud .</t>
  </si>
  <si>
    <t>Realizar el 100% de un programa de visitas en entorno hogar, comunitario y sumideros para encuestas entomologicas y control larvario.</t>
  </si>
  <si>
    <t>Realizar el 100% de un programa de Inmunización contra la rabia a  animales, entre caninos y felinos.</t>
  </si>
  <si>
    <t xml:space="preserve">Realizar  el 100% de un programa muestras de agua en sistemas de abastecimiento urbano y rural y elaboración de  mapas de riesgo. </t>
  </si>
  <si>
    <t xml:space="preserve">Realizar el 100% de un programa muestras de agua en sistemas de abastecimiento urbano y rural y elaboración de  mapas de riesgo. </t>
  </si>
  <si>
    <t>Realizar  el 100% de un programa de visitas y toma de muestras en establecimientos, vendedores ambulantes y estacionarios que procesan, producen, almacena, transportan y expenden alimentos.</t>
  </si>
  <si>
    <t>Realizar el 100% de un programa visitas a establecimientos de interes sanitario.</t>
  </si>
  <si>
    <t>Apoyar el 100% de la formulación  del plan territorial de salud vigencia 2024-2027</t>
  </si>
  <si>
    <t>Realizar el 100% de un programa de visitas de inspeccion y vigilancia a los prestadores de servicios de salud habilitadas en el Municipio de Cartago</t>
  </si>
  <si>
    <t>Realizar 3 programas de fortalecimiento de las capacidades en el talento humano en las insituciones del SGSS que contribuyan a mejorar las capacidades para la gestión en salud mejorando la salud en la población</t>
  </si>
  <si>
    <t xml:space="preserve">Realizar seguimiento mensual a las liquidaciones mensuales de afiliados por EAPB y reportar el cruce de infomación financiera a nivel local </t>
  </si>
  <si>
    <t xml:space="preserve">Realizar el 100% de un programa de seguimiento al PAMEC de las IPS´s que operean en el municipio </t>
  </si>
  <si>
    <t>Capacitación en GAUDI</t>
  </si>
  <si>
    <t>Realizar un (1) programa de capacitación en GAUDI con actores del SGSSS</t>
  </si>
  <si>
    <t>Realizar  un (1  ) plan de auditoría al año a las EAPB del Régimen Contributivo  de acuerdo a la circular externa 001 del 2020 de la Supersalud.</t>
  </si>
  <si>
    <t>Realizar  un (1 ) plan de auditoría al año a las EAPB del Régimen Subsidiado  de acuerdo a la circular externa 001 del 2020 de la Supersalud.</t>
  </si>
  <si>
    <t>Realizar  un (1 ) seguimiento al año a las auditorías de las  EAPB del Régimen Subsidiado y Contributivo  de acuerdo a la circular externa 001 del 2020 de la Supersalud</t>
  </si>
  <si>
    <t xml:space="preserve">Realizar tres (3) programas que promueva la actividad física, la creación o adopción de modos condiciones o estilos de vida saludables en los entornos cotidianos.  </t>
  </si>
  <si>
    <t>Realizar dos (2) programas con adultos mayores con actividades de promoción de hábitos de vida saludable y la prevención de enfermedades crónicas no transmitibles de acuerdo a su condición de salud.</t>
  </si>
  <si>
    <t>Realizar diez  (10) capacitaciones a los integrantes de las asociaciones de usuarios conformados en el Municipio en derechos de salud mental.</t>
  </si>
  <si>
    <t>Realizar quince (15) jornadas de promoción, prevención y detección temprana de enfermedades crónicas no transmisibles con énfasis en alimentación saludable.</t>
  </si>
  <si>
    <t>Realizar diez (10) capacitaciones a docentes orientadores del Municipio en detección temprana de riesgo de violencias y conducta suicida.</t>
  </si>
  <si>
    <t>Realizar treinta (30) capacitaciones para la promoción de la salud mental y prevención de las enfermedades mentales.</t>
  </si>
  <si>
    <t>Realizar  un (1) seguimiento a las Zonas de Orientación Escolar  con acciones de prevención del suicidio, Prevención y Atención del Consumo de Sustancias Psicoactivas y violencia intrafamiliar.</t>
  </si>
  <si>
    <t>Realizar nueve (9) Capacitaciones a los profesionales del sector salud de las IPS, ESE de las áreas de urgencias, personal de transporte asistencial, organismos de socorro y fuerza pública , en guía de atención a pacientes agitados y protocolo de inmovilización.</t>
  </si>
  <si>
    <t>Realizar el 100% seguimientos a los casos de violencia de genero e intrafamiliar en menores de 14 años y gestantes notificadas en SIVIGILA, verificando el cumplimiento de la ruta de atención integral.</t>
  </si>
  <si>
    <t>Promover un (1) material publicitario dirigido a cuidadores de niños y niñas, a población general a menores de cinco años, de los programas FAMI y CDI de la modalidad familiar-institucional, hogares infantiles en la estrategia AEIPI comunitario (lactancia materna, alimentación complementaria saludable).</t>
  </si>
  <si>
    <t xml:space="preserve">Realizar un programa con niños, niñas y adolescentes, en prevención del embarazo y la promoción de proyectos de vida en edades entre 15 y 19 años, en acciones coordinadas con los actores del SGSSS. </t>
  </si>
  <si>
    <t>Realizar una (1)  la campaña de promoción de la inclusión social de la población LGTBI, foro educativo e informativo en diversidad sexual.</t>
  </si>
  <si>
    <t>Realizar un programa promoción del uso adecuado del preservativo</t>
  </si>
  <si>
    <t>Realizar 20 charlas educativas en derechos sexuales y reproductivos que permitan la canalización de gestantes con o sin controles prenatales.</t>
  </si>
  <si>
    <t>Realizar 10 capacitaciones en la estrategia de prevención de ITS, derechos sexuales, prevención de la violencia de género y sexual, socialización de la rutas de atención.</t>
  </si>
  <si>
    <t>Realizar cinco (5) capacitaciones en la ruta integral de atención materno perinatal a las IPS.</t>
  </si>
  <si>
    <t>Realizar 8asistencias técnicas a IPS, para garantizar la atención diferenciada de adolescentes y jóvenes, que incluya los procesos administrativos y asistenciales en el marco del modelo de servicios amigables para adolescentes y jóvenes (SAAJ).</t>
  </si>
  <si>
    <t>Realizar 12 capacitaciones a  padres o cuidadores, en prevención y control de enfermedades inmunoprevenibles en niños menores de 5 años.</t>
  </si>
  <si>
    <t>Sostener el 100% de las IPS vacunadoras del municipio de Cartago, con el cargue a la plataforma paiweb durante el año.</t>
  </si>
  <si>
    <t>Realizar 15 capacitaciones en promoción, prevención, atención y canalización de sintomáticos respiratorios a IPS primaria.</t>
  </si>
  <si>
    <t>Charlas informativas sobre la prevención del contagio de la tuberculosis</t>
  </si>
  <si>
    <t>Realizar cinco (5) capacitaciones sobre el adecuado lavado de manos con disminución de probabilidad de ocurrencia de eventos evitables no deseados, y negativos para la salud del individuo</t>
  </si>
  <si>
    <t>Capacitar 20 personas en la promoción y prevención de enfermedades transmitidas por vectores (Dengue, Zika, Chikunguña, Malaria y Leishmaniasis).</t>
  </si>
  <si>
    <t>Realizar 100 visitas de caracterización a trabajadores informales que permita la prevención de enfermedades profesionales y mitigación riesgos de origen laboral.</t>
  </si>
  <si>
    <t>Realizar 100 visitas de vigilancia y control a trabajadores informales que permitan educación para la prevención de enfermedades profesionales y mitigación del riesgo de origen laboral.</t>
  </si>
  <si>
    <t>Realizar dos (2) acciones educativas en prevención de riesgos laborales orientada a población con discapacidad.</t>
  </si>
  <si>
    <t>Realizar un (1) seguimiento a los planes de contingencia que permitan la planificación, gestión de las emergencias, capacidad de vigilancia y respuesta de las instituciones de salud, del municipio de Cartago.</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</si>
</sst>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2" formatCode="_-&quot;$&quot;\ * #,##0_-;\-&quot;$&quot;\ * #,##0_-;_-&quot;$&quot;\ * &quot;-&quot;_-;_-@_-"/>
    <numFmt numFmtId="41" formatCode="_-* #,##0_-;\-* #,##0_-;_-* &quot;-&quot;_-;_-@_-"/>
    <numFmt numFmtId="43" formatCode="_-* #,##0.00_-;\-* #,##0.00_-;_-* &quot;-&quot;??_-;_-@_-"/>
    <numFmt numFmtId="164" formatCode="#,##0.00\ &quot;€&quot;;[Red]\-#,##0.00\ &quot;€&quot;"/>
    <numFmt numFmtId="165" formatCode="_-* #,##0.00\ &quot;€&quot;_-;\-* #,##0.00\ &quot;€&quot;_-;_-* &quot;-&quot;??\ &quot;€&quot;_-;_-@_-"/>
    <numFmt numFmtId="166" formatCode="_-* #,##0.00_-;\-* #,##0.00_-;_-* &quot;-&quot;_-;_-@_-"/>
    <numFmt numFmtId="167" formatCode="_ [$€-2]\ * #,##0.00_ ;_ [$€-2]\ * \-#,##0.00_ ;_ [$€-2]\ * &quot;-&quot;??_ "/>
    <numFmt numFmtId="168" formatCode="_(* #,##0_);_(* \(#,##0\);_(* &quot;-&quot;_);_(@_)"/>
    <numFmt numFmtId="169" formatCode="_ * #,##0.00_ ;_ * \-#,##0.00_ ;_ * &quot;-&quot;??_ ;_ @_ "/>
    <numFmt numFmtId="170" formatCode="_(* #,##0.00_);_(* \(#,##0.00\);_(* &quot;-&quot;??_);_(@_)"/>
    <numFmt numFmtId="171" formatCode="0.0%"/>
    <numFmt numFmtId="172" formatCode="_-* #,##0.00\ _€_-;\-* #,##0.00\ _€_-;_-* &quot;-&quot;??\ _€_-;_-@_-"/>
    <numFmt numFmtId="173" formatCode="0.0"/>
    <numFmt numFmtId="174" formatCode="_ * #,##0_ ;_ * \-#,##0_ ;_ * &quot;-&quot;??_ ;_ @_ "/>
    <numFmt numFmtId="175" formatCode="_-&quot;$&quot;* #,##0.00_-;\-&quot;$&quot;* #,##0.00_-;_-&quot;$&quot;* &quot;-&quot;??_-;_-@_-"/>
    <numFmt numFmtId="176" formatCode="[$-C0A]d\-mmm\-yyyy;@"/>
    <numFmt numFmtId="177" formatCode="_-* #,##0\ _€_-;\-* #,##0\ _€_-;_-* &quot;-&quot;??\ _€_-;_-@_-"/>
    <numFmt numFmtId="178" formatCode="00"/>
    <numFmt numFmtId="179" formatCode="&quot;$&quot;\ #,##0.00"/>
    <numFmt numFmtId="180" formatCode="#,##0.00_ ;[Red]\-#,##0.00\ "/>
    <numFmt numFmtId="181" formatCode="_-* #,##0.0_-;\-* #,##0.0_-;_-* &quot;-&quot;??_-;_-@_-"/>
  </numFmts>
  <fonts count="9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0"/>
      <name val="Arial Nova Cond Light"/>
      <family val="2"/>
    </font>
    <font>
      <b/>
      <sz val="10"/>
      <name val="Arial Nova Cond Light"/>
      <family val="2"/>
    </font>
    <font>
      <b/>
      <sz val="10"/>
      <color theme="0"/>
      <name val="Arial"/>
      <family val="2"/>
    </font>
    <font>
      <b/>
      <sz val="10"/>
      <color theme="3" tint="-0.249977111117893"/>
      <name val="Arial Nova Cond Light"/>
      <family val="2"/>
    </font>
    <font>
      <sz val="8"/>
      <color theme="1"/>
      <name val="Calibri"/>
      <family val="2"/>
      <scheme val="minor"/>
    </font>
    <font>
      <sz val="10"/>
      <name val="Arial"/>
      <family val="2"/>
    </font>
    <font>
      <sz val="11"/>
      <color indexed="8"/>
      <name val="Calibri"/>
      <family val="2"/>
    </font>
    <font>
      <sz val="10"/>
      <color rgb="FF000000"/>
      <name val="Arial"/>
      <family val="2"/>
    </font>
    <font>
      <sz val="10"/>
      <color theme="1"/>
      <name val="Calibri"/>
      <family val="2"/>
      <scheme val="minor"/>
    </font>
    <font>
      <sz val="11"/>
      <name val="Calibri"/>
      <family val="2"/>
      <scheme val="minor"/>
    </font>
    <font>
      <b/>
      <sz val="11"/>
      <name val="Calibri"/>
      <family val="2"/>
      <scheme val="minor"/>
    </font>
    <font>
      <sz val="10"/>
      <color theme="1"/>
      <name val="Cambria"/>
      <family val="2"/>
      <scheme val="major"/>
    </font>
    <font>
      <sz val="9"/>
      <color theme="1"/>
      <name val="Cambria"/>
      <family val="2"/>
      <scheme val="major"/>
    </font>
    <font>
      <sz val="9"/>
      <color theme="1"/>
      <name val="Calibri"/>
      <family val="2"/>
      <scheme val="minor"/>
    </font>
    <font>
      <b/>
      <sz val="12"/>
      <color theme="1"/>
      <name val="Arial"/>
      <family val="2"/>
    </font>
    <font>
      <sz val="12"/>
      <color theme="1"/>
      <name val="Arial"/>
      <family val="2"/>
    </font>
    <font>
      <b/>
      <sz val="12"/>
      <color theme="3" tint="-0.249977111117893"/>
      <name val="Arial Nova Cond Light"/>
      <family val="2"/>
    </font>
    <font>
      <b/>
      <sz val="12"/>
      <color theme="0"/>
      <name val="Calibri"/>
      <family val="2"/>
      <scheme val="minor"/>
    </font>
    <font>
      <b/>
      <sz val="11"/>
      <color theme="1"/>
      <name val="Century Gothic"/>
      <family val="2"/>
    </font>
    <font>
      <b/>
      <sz val="10"/>
      <color theme="3" tint="-0.249977111117893"/>
      <name val="Arial"/>
      <family val="2"/>
    </font>
    <font>
      <b/>
      <sz val="9"/>
      <color theme="3" tint="-0.249977111117893"/>
      <name val="Arial"/>
      <family val="2"/>
    </font>
    <font>
      <b/>
      <sz val="11"/>
      <color theme="3" tint="-0.249977111117893"/>
      <name val="Calibri"/>
      <family val="2"/>
      <scheme val="minor"/>
    </font>
    <font>
      <b/>
      <sz val="12"/>
      <color theme="1"/>
      <name val="Century Gothic"/>
      <family val="2"/>
    </font>
    <font>
      <b/>
      <sz val="8"/>
      <color theme="1"/>
      <name val="Century Gothic"/>
      <family val="2"/>
    </font>
    <font>
      <sz val="10"/>
      <color indexed="8"/>
      <name val="MS Sans Serif"/>
      <family val="2"/>
    </font>
    <font>
      <b/>
      <sz val="9"/>
      <color indexed="81"/>
      <name val="Tahoma"/>
      <family val="2"/>
    </font>
    <font>
      <sz val="9"/>
      <color indexed="81"/>
      <name val="Tahoma"/>
      <family val="2"/>
    </font>
    <font>
      <b/>
      <sz val="11"/>
      <color rgb="FF6F6F6E"/>
      <name val="Calibri"/>
      <family val="2"/>
      <scheme val="minor"/>
    </font>
    <font>
      <sz val="10"/>
      <name val="Arial Narrow"/>
      <family val="2"/>
    </font>
    <font>
      <b/>
      <sz val="10"/>
      <color theme="1"/>
      <name val="Calibri"/>
      <family val="2"/>
      <scheme val="minor"/>
    </font>
    <font>
      <sz val="10"/>
      <name val="Calibri"/>
      <family val="2"/>
      <scheme val="minor"/>
    </font>
    <font>
      <sz val="10"/>
      <color theme="1"/>
      <name val="Arial"/>
      <family val="2"/>
    </font>
    <font>
      <sz val="10"/>
      <color theme="1"/>
      <name val="Century Gothic"/>
      <family val="2"/>
    </font>
    <font>
      <b/>
      <sz val="10"/>
      <name val="Calibri"/>
      <family val="2"/>
      <scheme val="minor"/>
    </font>
    <font>
      <sz val="10"/>
      <name val="Century Gothic"/>
      <family val="2"/>
    </font>
    <font>
      <sz val="11"/>
      <color rgb="FF000000"/>
      <name val="Calibri"/>
      <family val="2"/>
      <scheme val="minor"/>
    </font>
    <font>
      <sz val="10"/>
      <color indexed="81"/>
      <name val="Tahoma"/>
      <family val="2"/>
    </font>
    <font>
      <b/>
      <sz val="10"/>
      <color indexed="81"/>
      <name val="Tahoma"/>
      <family val="2"/>
    </font>
    <font>
      <sz val="11"/>
      <color rgb="FFFF0000"/>
      <name val="Calibri"/>
      <family val="2"/>
      <scheme val="minor"/>
    </font>
    <font>
      <b/>
      <sz val="8"/>
      <color rgb="FF000000"/>
      <name val="Calibri"/>
      <family val="2"/>
    </font>
    <font>
      <b/>
      <sz val="10"/>
      <color rgb="FF000000"/>
      <name val="Calibri"/>
      <family val="2"/>
    </font>
    <font>
      <b/>
      <sz val="22"/>
      <name val="Calibri"/>
      <family val="2"/>
      <scheme val="minor"/>
    </font>
    <font>
      <sz val="22"/>
      <name val="Calibri"/>
      <family val="2"/>
      <scheme val="minor"/>
    </font>
    <font>
      <sz val="8"/>
      <name val="Calibri"/>
      <family val="2"/>
      <scheme val="minor"/>
    </font>
    <font>
      <b/>
      <sz val="16"/>
      <color theme="1"/>
      <name val="Calibri"/>
      <family val="2"/>
      <scheme val="minor"/>
    </font>
    <font>
      <sz val="16"/>
      <color theme="1"/>
      <name val="Calibri"/>
      <family val="2"/>
      <scheme val="minor"/>
    </font>
    <font>
      <b/>
      <sz val="8"/>
      <name val="Calibri"/>
      <family val="2"/>
      <scheme val="minor"/>
    </font>
    <font>
      <b/>
      <sz val="11"/>
      <color rgb="FF00B050"/>
      <name val="Calibri"/>
      <family val="2"/>
      <scheme val="minor"/>
    </font>
    <font>
      <sz val="8"/>
      <color rgb="FF000000"/>
      <name val="Calibri"/>
      <family val="2"/>
    </font>
    <font>
      <b/>
      <sz val="11"/>
      <color rgb="FFFF0000"/>
      <name val="Calibri"/>
      <family val="2"/>
      <scheme val="minor"/>
    </font>
    <font>
      <b/>
      <sz val="12"/>
      <color theme="1"/>
      <name val="Calibri"/>
      <family val="2"/>
      <scheme val="minor"/>
    </font>
    <font>
      <b/>
      <sz val="12"/>
      <name val="Calibri"/>
      <family val="2"/>
      <scheme val="minor"/>
    </font>
    <font>
      <sz val="12"/>
      <name val="Calibri"/>
      <family val="2"/>
      <scheme val="minor"/>
    </font>
    <font>
      <b/>
      <sz val="10"/>
      <color theme="0"/>
      <name val="Cambria"/>
      <family val="2"/>
      <scheme val="major"/>
    </font>
    <font>
      <b/>
      <sz val="10"/>
      <color rgb="FF000000"/>
      <name val="Arial"/>
      <family val="2"/>
    </font>
    <font>
      <b/>
      <sz val="9"/>
      <color rgb="FF000000"/>
      <name val="Tahoma"/>
      <family val="2"/>
    </font>
    <font>
      <sz val="9"/>
      <color rgb="FF000000"/>
      <name val="Tahoma"/>
      <family val="2"/>
    </font>
    <font>
      <b/>
      <sz val="10"/>
      <color indexed="81"/>
      <name val="Calibri"/>
      <family val="2"/>
    </font>
    <font>
      <sz val="10"/>
      <color indexed="81"/>
      <name val="Calibri"/>
      <family val="2"/>
    </font>
    <font>
      <b/>
      <sz val="12"/>
      <color rgb="FF000000"/>
      <name val="Calibri"/>
      <family val="2"/>
    </font>
    <font>
      <sz val="12"/>
      <color rgb="FF000000"/>
      <name val="Calibri"/>
      <family val="2"/>
    </font>
    <font>
      <sz val="12"/>
      <color theme="1"/>
      <name val="Calibri"/>
      <family val="2"/>
      <scheme val="minor"/>
    </font>
    <font>
      <b/>
      <sz val="12"/>
      <color rgb="FFFF0000"/>
      <name val="Calibri"/>
      <family val="2"/>
      <scheme val="minor"/>
    </font>
    <font>
      <b/>
      <sz val="12"/>
      <color theme="0"/>
      <name val="Cambria"/>
      <family val="2"/>
      <scheme val="major"/>
    </font>
    <font>
      <b/>
      <sz val="11"/>
      <name val="Calibri"/>
      <family val="2"/>
    </font>
    <font>
      <b/>
      <sz val="10"/>
      <name val="ARIAL"/>
      <family val="2"/>
    </font>
    <font>
      <b/>
      <sz val="9"/>
      <color theme="0"/>
      <name val="Verdana"/>
      <family val="2"/>
    </font>
    <font>
      <b/>
      <sz val="11"/>
      <color theme="0"/>
      <name val="Verdana"/>
      <family val="2"/>
    </font>
    <font>
      <b/>
      <sz val="10"/>
      <color theme="1"/>
      <name val="Verdana"/>
      <family val="2"/>
    </font>
    <font>
      <b/>
      <sz val="11"/>
      <color theme="0"/>
      <name val="Calibri"/>
      <family val="2"/>
    </font>
    <font>
      <b/>
      <i/>
      <sz val="9"/>
      <color rgb="FFFF0000"/>
      <name val="Calibri"/>
      <family val="2"/>
      <scheme val="minor"/>
    </font>
    <font>
      <sz val="10"/>
      <color indexed="8"/>
      <name val="Arial"/>
      <family val="2"/>
    </font>
    <font>
      <sz val="11"/>
      <name val="Calibri"/>
      <family val="2"/>
    </font>
    <font>
      <sz val="12"/>
      <color indexed="8"/>
      <name val="Arial"/>
      <family val="2"/>
    </font>
    <font>
      <sz val="12"/>
      <name val="Arial Narrow"/>
      <family val="2"/>
    </font>
    <font>
      <b/>
      <sz val="11"/>
      <color rgb="FF000000"/>
      <name val="Calibri"/>
      <family val="2"/>
      <scheme val="minor"/>
    </font>
    <font>
      <b/>
      <sz val="11"/>
      <color theme="1"/>
      <name val="Calibri"/>
      <family val="2"/>
    </font>
    <font>
      <sz val="8"/>
      <color theme="1"/>
      <name val="Calibri"/>
      <family val="2"/>
    </font>
    <font>
      <b/>
      <sz val="9"/>
      <color theme="1"/>
      <name val="Calibri"/>
      <family val="2"/>
      <scheme val="minor"/>
    </font>
    <font>
      <b/>
      <sz val="11"/>
      <color rgb="FF555555"/>
      <name val="Segoe UI"/>
      <family val="2"/>
    </font>
    <font>
      <b/>
      <sz val="7"/>
      <color rgb="FF000000"/>
      <name val="Verdana"/>
      <family val="2"/>
    </font>
    <font>
      <sz val="7"/>
      <color rgb="FF000000"/>
      <name val="Verdana"/>
      <family val="2"/>
    </font>
    <font>
      <b/>
      <sz val="6"/>
      <color rgb="FF000000"/>
      <name val="Verdana"/>
      <family val="2"/>
    </font>
    <font>
      <sz val="10"/>
      <color rgb="FF000000"/>
      <name val="Calibri"/>
      <family val="2"/>
    </font>
    <font>
      <sz val="10"/>
      <color rgb="FF000000"/>
      <name val="Verdana"/>
      <family val="2"/>
    </font>
    <font>
      <sz val="12"/>
      <color rgb="FF000000"/>
      <name val="Verdana"/>
      <family val="2"/>
    </font>
  </fonts>
  <fills count="54">
    <fill>
      <patternFill patternType="none"/>
    </fill>
    <fill>
      <patternFill patternType="gray125"/>
    </fill>
    <fill>
      <patternFill patternType="solid">
        <fgColor theme="2" tint="-0.499984740745262"/>
        <bgColor indexed="64"/>
      </patternFill>
    </fill>
    <fill>
      <patternFill patternType="solid">
        <fgColor theme="7" tint="0.39997558519241921"/>
        <bgColor indexed="64"/>
      </patternFill>
    </fill>
    <fill>
      <patternFill patternType="solid">
        <fgColor rgb="FFFFC000"/>
        <bgColor indexed="64"/>
      </patternFill>
    </fill>
    <fill>
      <patternFill patternType="solid">
        <fgColor theme="0"/>
        <bgColor indexed="64"/>
      </patternFill>
    </fill>
    <fill>
      <patternFill patternType="solid">
        <fgColor theme="8" tint="-0.499984740745262"/>
        <bgColor indexed="64"/>
      </patternFill>
    </fill>
    <fill>
      <patternFill patternType="solid">
        <fgColor theme="2" tint="-0.749992370372631"/>
        <bgColor indexed="64"/>
      </patternFill>
    </fill>
    <fill>
      <patternFill patternType="solid">
        <fgColor theme="5"/>
        <bgColor indexed="64"/>
      </patternFill>
    </fill>
    <fill>
      <patternFill patternType="solid">
        <fgColor theme="5" tint="-0.249977111117893"/>
        <bgColor rgb="FF000000"/>
      </patternFill>
    </fill>
    <fill>
      <patternFill patternType="solid">
        <fgColor theme="3" tint="0.59999389629810485"/>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5" tint="0.79998168889431442"/>
        <bgColor rgb="FF000000"/>
      </patternFill>
    </fill>
    <fill>
      <patternFill patternType="solid">
        <fgColor theme="4" tint="0.79998168889431442"/>
        <bgColor indexed="64"/>
      </patternFill>
    </fill>
    <fill>
      <patternFill patternType="solid">
        <fgColor rgb="FFECECEC"/>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tint="0.39997558519241921"/>
        <bgColor rgb="FF000000"/>
      </patternFill>
    </fill>
    <fill>
      <patternFill patternType="solid">
        <fgColor theme="4" tint="0.39997558519241921"/>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rgb="FF00B0F0"/>
        <bgColor indexed="64"/>
      </patternFill>
    </fill>
    <fill>
      <patternFill patternType="solid">
        <fgColor theme="6" tint="0.79998168889431442"/>
        <bgColor indexed="64"/>
      </patternFill>
    </fill>
    <fill>
      <patternFill patternType="solid">
        <fgColor theme="0"/>
        <bgColor rgb="FF000000"/>
      </patternFill>
    </fill>
    <fill>
      <patternFill patternType="solid">
        <fgColor theme="8" tint="0.59999389629810485"/>
        <bgColor indexed="64"/>
      </patternFill>
    </fill>
    <fill>
      <patternFill patternType="solid">
        <fgColor theme="5" tint="0.39997558519241921"/>
        <bgColor rgb="FF000000"/>
      </patternFill>
    </fill>
    <fill>
      <patternFill patternType="solid">
        <fgColor theme="4" tint="0.59999389629810485"/>
        <bgColor rgb="FF000000"/>
      </patternFill>
    </fill>
    <fill>
      <patternFill patternType="solid">
        <fgColor rgb="FFFF0000"/>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6"/>
        <bgColor indexed="64"/>
      </patternFill>
    </fill>
    <fill>
      <patternFill patternType="solid">
        <fgColor theme="0" tint="-0.14999847407452621"/>
        <bgColor indexed="64"/>
      </patternFill>
    </fill>
    <fill>
      <patternFill patternType="solid">
        <fgColor rgb="FF00B050"/>
        <bgColor indexed="64"/>
      </patternFill>
    </fill>
    <fill>
      <patternFill patternType="solid">
        <fgColor theme="8" tint="-0.249977111117893"/>
        <bgColor indexed="64"/>
      </patternFill>
    </fill>
    <fill>
      <patternFill patternType="solid">
        <fgColor rgb="FF92D050"/>
        <bgColor indexed="64"/>
      </patternFill>
    </fill>
    <fill>
      <patternFill patternType="solid">
        <fgColor theme="7"/>
        <bgColor indexed="64"/>
      </patternFill>
    </fill>
    <fill>
      <patternFill patternType="solid">
        <fgColor rgb="FFCC00FF"/>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0000FF"/>
        <bgColor indexed="64"/>
      </patternFill>
    </fill>
    <fill>
      <patternFill patternType="solid">
        <fgColor rgb="FFFF3300"/>
        <bgColor indexed="64"/>
      </patternFill>
    </fill>
    <fill>
      <patternFill patternType="solid">
        <fgColor rgb="FFFF99FF"/>
        <bgColor indexed="64"/>
      </patternFill>
    </fill>
    <fill>
      <patternFill patternType="solid">
        <fgColor theme="3" tint="0.39997558519241921"/>
        <bgColor indexed="64"/>
      </patternFill>
    </fill>
    <fill>
      <patternFill patternType="solid">
        <fgColor rgb="FFFFCC99"/>
        <bgColor indexed="64"/>
      </patternFill>
    </fill>
    <fill>
      <patternFill patternType="solid">
        <fgColor rgb="FFFFFFFF"/>
      </patternFill>
    </fill>
    <fill>
      <patternFill patternType="solid">
        <fgColor rgb="FFF5F5F5"/>
      </patternFill>
    </fill>
    <fill>
      <patternFill patternType="solid">
        <fgColor theme="8" tint="0.39997558519241921"/>
        <bgColor indexed="64"/>
      </patternFill>
    </fill>
    <fill>
      <patternFill patternType="solid">
        <fgColor theme="7"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522B57"/>
      </left>
      <right style="thin">
        <color rgb="FF522B57"/>
      </right>
      <top style="thin">
        <color rgb="FF522B57"/>
      </top>
      <bottom style="thin">
        <color rgb="FF522B57"/>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double">
        <color auto="1"/>
      </bottom>
      <diagonal/>
    </border>
    <border>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double">
        <color auto="1"/>
      </left>
      <right style="thin">
        <color auto="1"/>
      </right>
      <top/>
      <bottom/>
      <diagonal/>
    </border>
    <border>
      <left style="double">
        <color auto="1"/>
      </left>
      <right style="thin">
        <color auto="1"/>
      </right>
      <top style="double">
        <color auto="1"/>
      </top>
      <bottom/>
      <diagonal/>
    </border>
    <border>
      <left/>
      <right/>
      <top style="thin">
        <color auto="1"/>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top/>
      <bottom style="double">
        <color auto="1"/>
      </bottom>
      <diagonal/>
    </border>
    <border>
      <left style="thin">
        <color auto="1"/>
      </left>
      <right style="thin">
        <color auto="1"/>
      </right>
      <top/>
      <bottom style="double">
        <color auto="1"/>
      </bottom>
      <diagonal/>
    </border>
    <border>
      <left/>
      <right style="thin">
        <color auto="1"/>
      </right>
      <top/>
      <bottom style="double">
        <color auto="1"/>
      </bottom>
      <diagonal/>
    </border>
    <border>
      <left style="dotted">
        <color auto="1"/>
      </left>
      <right style="thin">
        <color auto="1"/>
      </right>
      <top style="dotted">
        <color auto="1"/>
      </top>
      <bottom style="dotted">
        <color auto="1"/>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rgb="FF969696"/>
      </left>
      <right style="thin">
        <color rgb="FF969696"/>
      </right>
      <top/>
      <bottom style="thin">
        <color rgb="FF969696"/>
      </bottom>
      <diagonal/>
    </border>
    <border>
      <left style="thin">
        <color rgb="FF969696"/>
      </left>
      <right/>
      <top/>
      <bottom style="thin">
        <color rgb="FF969696"/>
      </bottom>
      <diagonal/>
    </border>
    <border>
      <left style="thin">
        <color rgb="FF969696"/>
      </left>
      <right style="thin">
        <color rgb="FF969696"/>
      </right>
      <top style="thin">
        <color rgb="FF969696"/>
      </top>
      <bottom style="thin">
        <color rgb="FF969696"/>
      </bottom>
      <diagonal/>
    </border>
  </borders>
  <cellStyleXfs count="62">
    <xf numFmtId="0" fontId="0" fillId="0" borderId="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167" fontId="9" fillId="0" borderId="0" applyFont="0" applyFill="0" applyBorder="0" applyAlignment="0" applyProtection="0"/>
    <xf numFmtId="41" fontId="10" fillId="0" borderId="0" applyFont="0" applyFill="0" applyBorder="0" applyAlignment="0" applyProtection="0"/>
    <xf numFmtId="168" fontId="1" fillId="0" borderId="0" applyFont="0" applyFill="0" applyBorder="0" applyAlignment="0" applyProtection="0"/>
    <xf numFmtId="43" fontId="9" fillId="0" borderId="0" applyNumberForma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9" fontId="9" fillId="0" borderId="0" applyFont="0" applyFill="0" applyBorder="0" applyAlignment="0" applyProtection="0"/>
    <xf numFmtId="164" fontId="1" fillId="0" borderId="0" applyFont="0" applyFill="0" applyBorder="0" applyAlignment="0" applyProtection="0"/>
    <xf numFmtId="171" fontId="9" fillId="0" borderId="0" applyFont="0" applyFill="0" applyBorder="0" applyAlignment="0" applyProtection="0"/>
    <xf numFmtId="172" fontId="9" fillId="0" borderId="0" applyFont="0" applyFill="0" applyBorder="0" applyAlignment="0" applyProtection="0"/>
    <xf numFmtId="173" fontId="9" fillId="0" borderId="0" applyFont="0" applyFill="0" applyBorder="0" applyAlignment="0" applyProtection="0"/>
    <xf numFmtId="172" fontId="9" fillId="0" borderId="0" applyFont="0" applyFill="0" applyBorder="0" applyAlignment="0" applyProtection="0"/>
    <xf numFmtId="172" fontId="1" fillId="0" borderId="0" applyFont="0" applyFill="0" applyBorder="0" applyAlignment="0" applyProtection="0"/>
    <xf numFmtId="170" fontId="1" fillId="0" borderId="0" applyFont="0" applyFill="0" applyBorder="0" applyAlignment="0" applyProtection="0"/>
    <xf numFmtId="174" fontId="9" fillId="0" borderId="0" applyFont="0" applyFill="0" applyBorder="0" applyAlignment="0" applyProtection="0"/>
    <xf numFmtId="17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9" fillId="0" borderId="0"/>
    <xf numFmtId="0" fontId="1" fillId="0" borderId="0"/>
    <xf numFmtId="0" fontId="1" fillId="0" borderId="0"/>
    <xf numFmtId="176" fontId="1" fillId="0" borderId="0"/>
    <xf numFmtId="176" fontId="1" fillId="0" borderId="0"/>
    <xf numFmtId="0" fontId="9" fillId="0" borderId="0"/>
    <xf numFmtId="0" fontId="9" fillId="0" borderId="0"/>
    <xf numFmtId="0" fontId="9" fillId="0" borderId="0"/>
    <xf numFmtId="0" fontId="11" fillId="0" borderId="0"/>
    <xf numFmtId="0" fontId="1" fillId="0" borderId="0"/>
    <xf numFmtId="0" fontId="1" fillId="0" borderId="0"/>
    <xf numFmtId="0" fontId="9" fillId="0" borderId="0"/>
    <xf numFmtId="0" fontId="10" fillId="0" borderId="0"/>
    <xf numFmtId="0" fontId="9" fillId="0" borderId="0"/>
    <xf numFmtId="0" fontId="9" fillId="0" borderId="0"/>
    <xf numFmtId="0" fontId="9" fillId="0" borderId="0"/>
    <xf numFmtId="0" fontId="9" fillId="0" borderId="0"/>
    <xf numFmtId="0" fontId="11" fillId="0" borderId="0"/>
    <xf numFmtId="176" fontId="1" fillId="0" borderId="0"/>
    <xf numFmtId="9" fontId="9" fillId="0" borderId="0" applyFont="0" applyFill="0" applyBorder="0" applyAlignment="0" applyProtection="0"/>
    <xf numFmtId="9" fontId="9" fillId="0" borderId="0" applyNumberForma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NumberFormat="0" applyFill="0" applyBorder="0" applyAlignment="0" applyProtection="0"/>
    <xf numFmtId="0" fontId="28" fillId="0" borderId="0"/>
    <xf numFmtId="0" fontId="31" fillId="15" borderId="13">
      <alignment horizontal="center" vertical="center" wrapText="1"/>
    </xf>
    <xf numFmtId="178" fontId="32" fillId="0" borderId="0" applyFill="0">
      <alignment horizontal="center" vertical="center" wrapText="1"/>
    </xf>
    <xf numFmtId="1" fontId="32" fillId="5" borderId="0" applyFill="0">
      <alignment horizontal="center" vertical="center"/>
    </xf>
    <xf numFmtId="0" fontId="9" fillId="0" borderId="0"/>
    <xf numFmtId="0" fontId="9" fillId="0" borderId="0"/>
    <xf numFmtId="0" fontId="9" fillId="0" borderId="0"/>
  </cellStyleXfs>
  <cellXfs count="723">
    <xf numFmtId="0" fontId="0" fillId="0" borderId="0" xfId="0"/>
    <xf numFmtId="0" fontId="12" fillId="0" borderId="1" xfId="0" applyFont="1" applyBorder="1" applyAlignment="1">
      <alignment horizontal="center" vertical="center"/>
    </xf>
    <xf numFmtId="0" fontId="13" fillId="0" borderId="1" xfId="0" applyFont="1" applyBorder="1" applyAlignment="1">
      <alignment horizontal="center" vertical="center" wrapText="1"/>
    </xf>
    <xf numFmtId="1" fontId="16" fillId="0" borderId="0" xfId="0" applyNumberFormat="1" applyFont="1" applyAlignment="1">
      <alignment horizontal="center" vertical="center" wrapText="1"/>
    </xf>
    <xf numFmtId="0" fontId="0" fillId="0" borderId="0" xfId="0" applyAlignment="1">
      <alignment vertical="top"/>
    </xf>
    <xf numFmtId="0" fontId="0" fillId="0" borderId="0" xfId="0" applyAlignment="1">
      <alignment horizontal="left"/>
    </xf>
    <xf numFmtId="49" fontId="0" fillId="0" borderId="0" xfId="0" applyNumberFormat="1" applyAlignment="1">
      <alignment horizontal="center"/>
    </xf>
    <xf numFmtId="0" fontId="0" fillId="0" borderId="0" xfId="0" applyAlignment="1">
      <alignment horizontal="center"/>
    </xf>
    <xf numFmtId="0" fontId="0" fillId="0" borderId="0" xfId="0" applyAlignment="1">
      <alignment horizontal="center" wrapText="1"/>
    </xf>
    <xf numFmtId="0" fontId="17" fillId="0" borderId="0" xfId="0" applyFont="1" applyAlignment="1">
      <alignment horizontal="center" wrapText="1"/>
    </xf>
    <xf numFmtId="0" fontId="19" fillId="0" borderId="0" xfId="0" applyFont="1"/>
    <xf numFmtId="0" fontId="3" fillId="5" borderId="0" xfId="0" applyFont="1" applyFill="1" applyAlignment="1">
      <alignment horizontal="center"/>
    </xf>
    <xf numFmtId="0" fontId="0" fillId="0" borderId="0" xfId="0" applyAlignment="1">
      <alignment vertical="center"/>
    </xf>
    <xf numFmtId="0" fontId="5" fillId="10"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4" fillId="12" borderId="1" xfId="0" applyFont="1" applyFill="1" applyBorder="1" applyAlignment="1" applyProtection="1">
      <alignment horizontal="center" vertical="center" wrapText="1"/>
      <protection locked="0"/>
    </xf>
    <xf numFmtId="0" fontId="23" fillId="12" borderId="1" xfId="0" applyFont="1" applyFill="1" applyBorder="1" applyAlignment="1" applyProtection="1">
      <alignment horizontal="center" vertical="center" wrapText="1"/>
      <protection locked="0"/>
    </xf>
    <xf numFmtId="0" fontId="25" fillId="12" borderId="1" xfId="0" applyFont="1" applyFill="1" applyBorder="1" applyAlignment="1">
      <alignment horizontal="center" vertical="center" wrapText="1"/>
    </xf>
    <xf numFmtId="1" fontId="26" fillId="13" borderId="1" xfId="0" applyNumberFormat="1" applyFont="1" applyFill="1" applyBorder="1" applyAlignment="1">
      <alignment horizontal="center" vertical="center" wrapText="1" readingOrder="1"/>
    </xf>
    <xf numFmtId="0" fontId="6" fillId="10" borderId="1" xfId="0" applyFont="1" applyFill="1" applyBorder="1" applyAlignment="1" applyProtection="1">
      <alignment horizontal="center" vertical="center" wrapText="1"/>
      <protection locked="0"/>
    </xf>
    <xf numFmtId="42" fontId="6" fillId="2" borderId="1" xfId="3" applyFont="1" applyFill="1" applyBorder="1" applyAlignment="1" applyProtection="1">
      <alignment vertical="center" wrapText="1"/>
      <protection locked="0"/>
    </xf>
    <xf numFmtId="1" fontId="13" fillId="0" borderId="1" xfId="0" applyNumberFormat="1" applyFont="1" applyBorder="1" applyAlignment="1">
      <alignment horizontal="center" vertical="center" wrapText="1"/>
    </xf>
    <xf numFmtId="0" fontId="17" fillId="0" borderId="1" xfId="0" applyFont="1" applyBorder="1" applyAlignment="1">
      <alignment horizontal="left" vertical="center" wrapText="1"/>
    </xf>
    <xf numFmtId="0" fontId="0" fillId="0" borderId="1" xfId="0"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34" fillId="0" borderId="1" xfId="0" applyFont="1" applyBorder="1" applyAlignment="1">
      <alignment horizontal="left" vertical="center" wrapText="1"/>
    </xf>
    <xf numFmtId="0" fontId="34" fillId="0" borderId="1" xfId="0" applyFont="1" applyBorder="1" applyAlignment="1">
      <alignment horizontal="center" vertical="center" wrapText="1"/>
    </xf>
    <xf numFmtId="0" fontId="12" fillId="0" borderId="2" xfId="0" applyFont="1" applyBorder="1" applyAlignment="1">
      <alignment vertical="center" wrapText="1"/>
    </xf>
    <xf numFmtId="0" fontId="0" fillId="0" borderId="1" xfId="0" applyBorder="1" applyAlignment="1">
      <alignment horizontal="center" vertical="center" wrapText="1"/>
    </xf>
    <xf numFmtId="1" fontId="0" fillId="0" borderId="1" xfId="0" applyNumberFormat="1" applyBorder="1" applyAlignment="1">
      <alignment horizontal="center" vertical="center" wrapText="1"/>
    </xf>
    <xf numFmtId="0" fontId="36" fillId="0" borderId="1" xfId="0" applyFont="1" applyBorder="1" applyAlignment="1">
      <alignment horizontal="center" vertical="center"/>
    </xf>
    <xf numFmtId="0" fontId="36" fillId="0" borderId="1" xfId="0" applyFont="1" applyBorder="1" applyAlignment="1">
      <alignment horizontal="center" vertical="center" wrapText="1"/>
    </xf>
    <xf numFmtId="43" fontId="12" fillId="0" borderId="1" xfId="1" applyFont="1" applyFill="1" applyBorder="1" applyAlignment="1">
      <alignment vertical="center"/>
    </xf>
    <xf numFmtId="1" fontId="12" fillId="0" borderId="1" xfId="0" applyNumberFormat="1" applyFont="1" applyBorder="1" applyAlignment="1">
      <alignment horizontal="center" vertical="center"/>
    </xf>
    <xf numFmtId="0" fontId="12" fillId="0" borderId="0" xfId="0" applyFont="1"/>
    <xf numFmtId="0" fontId="0" fillId="0" borderId="1" xfId="0" applyBorder="1" applyAlignment="1">
      <alignment horizontal="left" vertical="center" wrapText="1"/>
    </xf>
    <xf numFmtId="0" fontId="0" fillId="0" borderId="1" xfId="0" applyBorder="1" applyAlignment="1">
      <alignment vertical="center" wrapText="1"/>
    </xf>
    <xf numFmtId="0" fontId="12" fillId="0" borderId="6" xfId="0" applyFont="1" applyBorder="1" applyAlignment="1">
      <alignment horizontal="center" vertical="center"/>
    </xf>
    <xf numFmtId="0" fontId="12" fillId="0" borderId="1" xfId="0" applyFont="1" applyBorder="1" applyAlignment="1">
      <alignment wrapText="1"/>
    </xf>
    <xf numFmtId="179" fontId="0" fillId="0" borderId="1" xfId="0" applyNumberFormat="1" applyBorder="1" applyAlignment="1">
      <alignment horizontal="center" vertical="center" wrapText="1"/>
    </xf>
    <xf numFmtId="0" fontId="12" fillId="0" borderId="2" xfId="0" applyFont="1" applyBorder="1" applyAlignment="1">
      <alignment horizontal="center" vertical="center"/>
    </xf>
    <xf numFmtId="0" fontId="7" fillId="17" borderId="1" xfId="0" applyFont="1" applyFill="1" applyBorder="1" applyAlignment="1">
      <alignment horizontal="center" vertical="center" wrapText="1"/>
    </xf>
    <xf numFmtId="0" fontId="38" fillId="0" borderId="1" xfId="0" applyFont="1" applyBorder="1" applyAlignment="1">
      <alignment horizontal="center" vertical="center"/>
    </xf>
    <xf numFmtId="0" fontId="0" fillId="0" borderId="2" xfId="0" applyBorder="1" applyAlignment="1">
      <alignment horizontal="left" vertical="center" wrapText="1"/>
    </xf>
    <xf numFmtId="41" fontId="0" fillId="0" borderId="0" xfId="2" applyFont="1" applyAlignment="1">
      <alignment horizontal="center" wrapText="1"/>
    </xf>
    <xf numFmtId="0" fontId="12" fillId="0" borderId="2" xfId="0" applyFont="1" applyBorder="1" applyAlignment="1">
      <alignment horizontal="center" vertical="center" wrapText="1"/>
    </xf>
    <xf numFmtId="0" fontId="12" fillId="0" borderId="0" xfId="0" applyFont="1" applyAlignment="1">
      <alignment horizontal="center" vertical="center"/>
    </xf>
    <xf numFmtId="49" fontId="12" fillId="0" borderId="1" xfId="0" applyNumberFormat="1" applyFont="1" applyBorder="1" applyAlignment="1">
      <alignment horizontal="center" vertical="center" wrapText="1"/>
    </xf>
    <xf numFmtId="43" fontId="12" fillId="0" borderId="1" xfId="1" applyFont="1" applyFill="1" applyBorder="1" applyAlignment="1">
      <alignment horizontal="center" vertical="center"/>
    </xf>
    <xf numFmtId="0" fontId="36" fillId="0" borderId="2" xfId="0" applyFont="1" applyBorder="1" applyAlignment="1">
      <alignment vertical="center" wrapText="1"/>
    </xf>
    <xf numFmtId="0" fontId="36" fillId="0" borderId="2" xfId="0" applyFont="1" applyBorder="1" applyAlignment="1">
      <alignment horizontal="center" vertical="center"/>
    </xf>
    <xf numFmtId="0" fontId="36" fillId="0" borderId="2" xfId="0" applyFont="1" applyBorder="1" applyAlignment="1">
      <alignment vertical="center"/>
    </xf>
    <xf numFmtId="0" fontId="12" fillId="0" borderId="7" xfId="0" applyFont="1" applyBorder="1" applyAlignment="1">
      <alignment horizontal="center" vertical="center"/>
    </xf>
    <xf numFmtId="166" fontId="12" fillId="0" borderId="1" xfId="2" applyNumberFormat="1" applyFont="1" applyFill="1" applyBorder="1" applyAlignment="1">
      <alignment horizontal="center" vertical="center"/>
    </xf>
    <xf numFmtId="49" fontId="34" fillId="0" borderId="1" xfId="0" applyNumberFormat="1" applyFont="1" applyBorder="1" applyAlignment="1">
      <alignment horizontal="center" vertical="center" wrapText="1"/>
    </xf>
    <xf numFmtId="0" fontId="0" fillId="0" borderId="0" xfId="0" applyAlignment="1">
      <alignment horizontal="center" vertical="center"/>
    </xf>
    <xf numFmtId="0" fontId="0" fillId="18" borderId="0" xfId="0" applyFill="1"/>
    <xf numFmtId="0" fontId="0" fillId="18" borderId="0" xfId="0" applyFill="1" applyAlignment="1">
      <alignment horizontal="center"/>
    </xf>
    <xf numFmtId="49" fontId="15" fillId="18" borderId="8" xfId="0" applyNumberFormat="1" applyFont="1" applyFill="1" applyBorder="1"/>
    <xf numFmtId="1" fontId="16" fillId="18" borderId="8" xfId="0" applyNumberFormat="1" applyFont="1" applyFill="1" applyBorder="1" applyAlignment="1">
      <alignment horizontal="center" vertical="center" wrapText="1"/>
    </xf>
    <xf numFmtId="0" fontId="17" fillId="18" borderId="0" xfId="0" applyFont="1" applyFill="1" applyAlignment="1">
      <alignment horizontal="center" wrapText="1"/>
    </xf>
    <xf numFmtId="0" fontId="12" fillId="0" borderId="0" xfId="0" applyFont="1" applyAlignment="1">
      <alignment horizontal="center"/>
    </xf>
    <xf numFmtId="0" fontId="34" fillId="0" borderId="1" xfId="0" applyFont="1" applyBorder="1" applyAlignment="1">
      <alignment horizontal="center" wrapText="1"/>
    </xf>
    <xf numFmtId="49" fontId="34" fillId="0" borderId="2" xfId="0" applyNumberFormat="1" applyFont="1" applyBorder="1" applyAlignment="1">
      <alignment horizontal="center" vertical="center" wrapText="1"/>
    </xf>
    <xf numFmtId="49" fontId="34" fillId="0" borderId="0" xfId="0" applyNumberFormat="1" applyFont="1" applyAlignment="1">
      <alignment horizontal="center" vertical="center" wrapText="1"/>
    </xf>
    <xf numFmtId="43" fontId="12" fillId="0" borderId="1" xfId="1" applyFont="1" applyBorder="1" applyAlignment="1">
      <alignment horizontal="center" vertical="center"/>
    </xf>
    <xf numFmtId="49" fontId="12" fillId="0" borderId="1" xfId="0" applyNumberFormat="1" applyFont="1" applyBorder="1" applyAlignment="1">
      <alignment horizontal="center" wrapText="1"/>
    </xf>
    <xf numFmtId="49" fontId="34" fillId="0" borderId="1" xfId="0" applyNumberFormat="1" applyFont="1" applyBorder="1" applyAlignment="1">
      <alignment horizontal="center" wrapText="1"/>
    </xf>
    <xf numFmtId="43" fontId="0" fillId="18" borderId="0" xfId="1" applyFont="1" applyFill="1" applyAlignment="1">
      <alignment horizontal="center"/>
    </xf>
    <xf numFmtId="43" fontId="3" fillId="3" borderId="1" xfId="1" applyFont="1" applyFill="1" applyBorder="1" applyAlignment="1">
      <alignment horizontal="center" vertical="center" wrapText="1"/>
    </xf>
    <xf numFmtId="43" fontId="34" fillId="0" borderId="1" xfId="1" applyFont="1" applyBorder="1" applyAlignment="1">
      <alignment horizontal="center" vertical="center"/>
    </xf>
    <xf numFmtId="43" fontId="0" fillId="0" borderId="0" xfId="1" applyFont="1" applyAlignment="1">
      <alignment horizontal="center"/>
    </xf>
    <xf numFmtId="0" fontId="0" fillId="0" borderId="2" xfId="0" applyBorder="1" applyAlignment="1">
      <alignment horizontal="center" vertical="center" wrapText="1"/>
    </xf>
    <xf numFmtId="0" fontId="47" fillId="0" borderId="0" xfId="30" applyFont="1" applyFill="1" applyAlignment="1">
      <alignment wrapText="1"/>
    </xf>
    <xf numFmtId="0" fontId="45" fillId="5" borderId="0" xfId="30" applyFont="1" applyFill="1" applyBorder="1" applyAlignment="1">
      <alignment vertical="center" wrapText="1"/>
    </xf>
    <xf numFmtId="0" fontId="48" fillId="24" borderId="25" xfId="0" applyFont="1" applyFill="1" applyBorder="1" applyAlignment="1">
      <alignment horizontal="center"/>
    </xf>
    <xf numFmtId="0" fontId="3" fillId="0" borderId="1" xfId="0" applyFont="1" applyBorder="1" applyAlignment="1">
      <alignment horizontal="center" vertical="center"/>
    </xf>
    <xf numFmtId="0" fontId="3" fillId="26" borderId="1" xfId="0" applyFont="1" applyFill="1" applyBorder="1" applyAlignment="1">
      <alignment vertical="center" wrapText="1"/>
    </xf>
    <xf numFmtId="0" fontId="3" fillId="0" borderId="1" xfId="0" applyFont="1" applyBorder="1" applyAlignment="1">
      <alignment vertical="center"/>
    </xf>
    <xf numFmtId="0" fontId="3" fillId="0" borderId="1" xfId="0" applyFont="1" applyFill="1" applyBorder="1" applyAlignment="1">
      <alignment vertical="center" wrapText="1"/>
    </xf>
    <xf numFmtId="0" fontId="0" fillId="0" borderId="1" xfId="0" applyFill="1" applyBorder="1" applyAlignment="1">
      <alignment vertical="center" wrapText="1"/>
    </xf>
    <xf numFmtId="0" fontId="9" fillId="0" borderId="1" xfId="0" applyFont="1" applyFill="1" applyBorder="1" applyAlignment="1">
      <alignment vertical="center" wrapText="1"/>
    </xf>
    <xf numFmtId="0" fontId="0" fillId="0" borderId="2" xfId="0" applyFont="1" applyFill="1" applyBorder="1" applyAlignment="1">
      <alignment vertical="center" wrapText="1"/>
    </xf>
    <xf numFmtId="0" fontId="0"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0" fillId="0" borderId="1" xfId="0" applyFont="1" applyFill="1" applyBorder="1" applyAlignment="1">
      <alignment vertical="center" wrapText="1"/>
    </xf>
    <xf numFmtId="0" fontId="39" fillId="5" borderId="1" xfId="0" applyFont="1" applyFill="1" applyBorder="1" applyAlignment="1">
      <alignment vertical="center" wrapText="1"/>
    </xf>
    <xf numFmtId="0" fontId="39" fillId="5" borderId="1" xfId="0" applyFont="1" applyFill="1" applyBorder="1" applyAlignment="1">
      <alignment horizontal="center" vertical="center" wrapText="1"/>
    </xf>
    <xf numFmtId="0" fontId="0" fillId="5" borderId="1" xfId="0" applyFont="1" applyFill="1" applyBorder="1" applyAlignment="1">
      <alignment horizontal="left" vertical="center" wrapText="1"/>
    </xf>
    <xf numFmtId="0" fontId="0" fillId="5" borderId="1" xfId="0" applyFont="1" applyFill="1" applyBorder="1" applyAlignment="1">
      <alignment horizontal="center" vertical="center" wrapText="1"/>
    </xf>
    <xf numFmtId="9" fontId="0" fillId="5" borderId="1" xfId="0" applyNumberFormat="1" applyFont="1" applyFill="1" applyBorder="1" applyAlignment="1">
      <alignment horizontal="left" vertical="center" wrapText="1"/>
    </xf>
    <xf numFmtId="0" fontId="0" fillId="5" borderId="1" xfId="19" applyNumberFormat="1" applyFont="1" applyFill="1" applyBorder="1" applyAlignment="1">
      <alignment horizontal="center" vertical="center"/>
    </xf>
    <xf numFmtId="0" fontId="0" fillId="5" borderId="4" xfId="19" applyNumberFormat="1" applyFont="1" applyFill="1" applyBorder="1" applyAlignment="1">
      <alignment horizontal="left" vertical="center" wrapText="1"/>
    </xf>
    <xf numFmtId="0" fontId="0" fillId="5" borderId="1" xfId="19" applyNumberFormat="1" applyFont="1" applyFill="1" applyBorder="1" applyAlignment="1">
      <alignment vertical="center" wrapText="1"/>
    </xf>
    <xf numFmtId="0" fontId="0" fillId="5" borderId="1" xfId="19" applyNumberFormat="1" applyFont="1" applyFill="1" applyBorder="1" applyAlignment="1">
      <alignment vertical="center"/>
    </xf>
    <xf numFmtId="49" fontId="0" fillId="5" borderId="1" xfId="0" applyNumberFormat="1" applyFont="1" applyFill="1" applyBorder="1" applyAlignment="1">
      <alignment wrapText="1"/>
    </xf>
    <xf numFmtId="49" fontId="0" fillId="5" borderId="1" xfId="0" applyNumberFormat="1" applyFont="1" applyFill="1" applyBorder="1" applyAlignment="1">
      <alignment vertical="center" wrapText="1"/>
    </xf>
    <xf numFmtId="0" fontId="0" fillId="5" borderId="1" xfId="0" applyFont="1" applyFill="1" applyBorder="1" applyAlignment="1">
      <alignment vertical="center"/>
    </xf>
    <xf numFmtId="9" fontId="14"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9" fontId="3" fillId="0" borderId="3" xfId="0" applyNumberFormat="1" applyFont="1" applyFill="1" applyBorder="1" applyAlignment="1">
      <alignment horizontal="center" vertical="center"/>
    </xf>
    <xf numFmtId="49" fontId="51" fillId="27" borderId="1" xfId="0" applyNumberFormat="1" applyFont="1" applyFill="1" applyBorder="1" applyAlignment="1">
      <alignment horizontal="center" vertical="center"/>
    </xf>
    <xf numFmtId="0" fontId="51" fillId="0" borderId="3" xfId="0" applyFont="1" applyFill="1" applyBorder="1" applyAlignment="1">
      <alignment horizontal="center" vertical="center" wrapText="1"/>
    </xf>
    <xf numFmtId="4" fontId="52" fillId="5" borderId="1" xfId="19" applyNumberFormat="1" applyFont="1" applyFill="1" applyBorder="1" applyAlignment="1">
      <alignment vertical="center" wrapText="1"/>
    </xf>
    <xf numFmtId="4" fontId="43" fillId="28" borderId="6" xfId="19" applyNumberFormat="1" applyFont="1" applyFill="1" applyBorder="1" applyAlignment="1">
      <alignment vertical="center" wrapText="1"/>
    </xf>
    <xf numFmtId="0" fontId="3" fillId="0" borderId="1" xfId="0" applyFont="1" applyBorder="1" applyAlignment="1">
      <alignment horizontal="center" vertical="center" wrapText="1"/>
    </xf>
    <xf numFmtId="0" fontId="0" fillId="5" borderId="1" xfId="19" applyNumberFormat="1" applyFont="1" applyFill="1" applyBorder="1" applyAlignment="1">
      <alignment horizontal="left" vertical="center" wrapText="1"/>
    </xf>
    <xf numFmtId="9" fontId="35"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Alignment="1">
      <alignment horizontal="center" vertical="center"/>
    </xf>
    <xf numFmtId="0" fontId="0" fillId="0" borderId="0" xfId="0" applyFill="1"/>
    <xf numFmtId="173" fontId="35" fillId="0" borderId="1" xfId="0" applyNumberFormat="1" applyFont="1" applyFill="1" applyBorder="1" applyAlignment="1">
      <alignment horizontal="center" vertical="center" wrapText="1"/>
    </xf>
    <xf numFmtId="49" fontId="53" fillId="0" borderId="1" xfId="0" applyNumberFormat="1" applyFont="1" applyFill="1" applyBorder="1" applyAlignment="1">
      <alignment horizontal="center" vertical="center"/>
    </xf>
    <xf numFmtId="0" fontId="53" fillId="0" borderId="3" xfId="0" applyFont="1" applyFill="1" applyBorder="1" applyAlignment="1">
      <alignment horizontal="center" vertical="center" wrapText="1"/>
    </xf>
    <xf numFmtId="0" fontId="0" fillId="0" borderId="0" xfId="0" applyFill="1" applyBorder="1"/>
    <xf numFmtId="49" fontId="51" fillId="29" borderId="1" xfId="0" applyNumberFormat="1" applyFont="1" applyFill="1" applyBorder="1" applyAlignment="1">
      <alignment horizontal="center" vertical="center"/>
    </xf>
    <xf numFmtId="49" fontId="51" fillId="32" borderId="1" xfId="0" applyNumberFormat="1" applyFont="1" applyFill="1" applyBorder="1" applyAlignment="1">
      <alignment horizontal="center" vertical="center"/>
    </xf>
    <xf numFmtId="0" fontId="51" fillId="32" borderId="3" xfId="0" applyFont="1" applyFill="1" applyBorder="1" applyAlignment="1">
      <alignment horizontal="center" vertical="center" wrapText="1"/>
    </xf>
    <xf numFmtId="0" fontId="0" fillId="5" borderId="1" xfId="0" applyFont="1" applyFill="1" applyBorder="1" applyAlignment="1">
      <alignment vertical="center" wrapText="1"/>
    </xf>
    <xf numFmtId="0" fontId="3" fillId="0" borderId="34" xfId="0" applyFont="1" applyBorder="1" applyAlignment="1">
      <alignment horizontal="center" vertical="center"/>
    </xf>
    <xf numFmtId="0" fontId="3" fillId="26" borderId="7" xfId="0" applyFont="1" applyFill="1" applyBorder="1" applyAlignment="1">
      <alignment vertical="center" wrapText="1"/>
    </xf>
    <xf numFmtId="0" fontId="3" fillId="0" borderId="7" xfId="0" applyFont="1" applyBorder="1" applyAlignment="1">
      <alignment vertical="center"/>
    </xf>
    <xf numFmtId="0" fontId="3" fillId="0" borderId="7" xfId="0" applyFont="1" applyFill="1" applyBorder="1" applyAlignment="1">
      <alignment vertical="center" wrapText="1"/>
    </xf>
    <xf numFmtId="0" fontId="0" fillId="0" borderId="7" xfId="0" applyFill="1" applyBorder="1" applyAlignment="1">
      <alignment vertical="center" wrapText="1"/>
    </xf>
    <xf numFmtId="0" fontId="9" fillId="0" borderId="7" xfId="0" applyFont="1" applyFill="1" applyBorder="1" applyAlignment="1">
      <alignment vertical="center" wrapText="1"/>
    </xf>
    <xf numFmtId="0" fontId="35" fillId="0" borderId="6" xfId="0" applyFont="1" applyFill="1" applyBorder="1" applyAlignment="1">
      <alignment horizontal="center" vertical="center" wrapText="1"/>
    </xf>
    <xf numFmtId="0" fontId="3" fillId="0" borderId="35" xfId="0" applyFont="1" applyBorder="1" applyAlignment="1">
      <alignment horizontal="center" vertical="center"/>
    </xf>
    <xf numFmtId="0" fontId="3" fillId="26" borderId="14" xfId="0" applyFont="1" applyFill="1" applyBorder="1" applyAlignment="1">
      <alignment vertical="center" wrapText="1"/>
    </xf>
    <xf numFmtId="0" fontId="3" fillId="0" borderId="2" xfId="0" applyFont="1" applyBorder="1" applyAlignment="1">
      <alignment vertical="center"/>
    </xf>
    <xf numFmtId="0" fontId="3" fillId="0" borderId="2" xfId="0" applyFont="1" applyFill="1" applyBorder="1" applyAlignment="1">
      <alignment vertical="center" wrapText="1"/>
    </xf>
    <xf numFmtId="0" fontId="0" fillId="0" borderId="2" xfId="0" applyFill="1" applyBorder="1" applyAlignment="1">
      <alignment vertical="center" wrapText="1"/>
    </xf>
    <xf numFmtId="0" fontId="9" fillId="0" borderId="2" xfId="0" applyFont="1" applyFill="1" applyBorder="1" applyAlignment="1">
      <alignment vertical="center" wrapText="1"/>
    </xf>
    <xf numFmtId="0" fontId="0" fillId="5" borderId="1" xfId="19" applyNumberFormat="1" applyFont="1" applyFill="1" applyBorder="1" applyAlignment="1">
      <alignment horizontal="left" vertical="center"/>
    </xf>
    <xf numFmtId="0" fontId="0" fillId="5" borderId="1" xfId="0" applyFill="1" applyBorder="1"/>
    <xf numFmtId="4" fontId="8" fillId="5" borderId="1" xfId="19" applyNumberFormat="1" applyFont="1" applyFill="1" applyBorder="1" applyAlignment="1">
      <alignment horizontal="center" vertical="center" wrapText="1"/>
    </xf>
    <xf numFmtId="4" fontId="8" fillId="5" borderId="1" xfId="19" applyNumberFormat="1" applyFont="1" applyFill="1" applyBorder="1" applyAlignment="1">
      <alignment vertical="center" wrapText="1"/>
    </xf>
    <xf numFmtId="0" fontId="39"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5" borderId="0" xfId="0" applyFill="1"/>
    <xf numFmtId="177" fontId="3" fillId="0" borderId="1" xfId="19"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4" fontId="52" fillId="5" borderId="1" xfId="19" applyNumberFormat="1" applyFont="1" applyFill="1" applyBorder="1" applyAlignment="1">
      <alignment vertical="center"/>
    </xf>
    <xf numFmtId="0" fontId="3" fillId="5" borderId="35" xfId="0" applyFont="1" applyFill="1" applyBorder="1" applyAlignment="1">
      <alignment horizontal="center" vertical="center"/>
    </xf>
    <xf numFmtId="0" fontId="3" fillId="5" borderId="2" xfId="0" applyFont="1" applyFill="1" applyBorder="1" applyAlignment="1">
      <alignment vertical="center"/>
    </xf>
    <xf numFmtId="0" fontId="3" fillId="5" borderId="2" xfId="0" applyFont="1" applyFill="1" applyBorder="1" applyAlignment="1">
      <alignment vertical="center" wrapText="1"/>
    </xf>
    <xf numFmtId="0" fontId="0" fillId="5" borderId="2" xfId="0" applyFill="1" applyBorder="1" applyAlignment="1">
      <alignment vertical="center" wrapText="1"/>
    </xf>
    <xf numFmtId="0" fontId="9" fillId="5" borderId="2" xfId="0" applyFont="1" applyFill="1" applyBorder="1" applyAlignment="1">
      <alignment vertical="center" wrapText="1"/>
    </xf>
    <xf numFmtId="0" fontId="35" fillId="5" borderId="1" xfId="0" applyFont="1" applyFill="1" applyBorder="1" applyAlignment="1">
      <alignment horizontal="center" vertical="center" wrapText="1"/>
    </xf>
    <xf numFmtId="9" fontId="35" fillId="5" borderId="1" xfId="0" applyNumberFormat="1" applyFont="1" applyFill="1" applyBorder="1" applyAlignment="1">
      <alignment horizontal="center" vertical="center" wrapText="1"/>
    </xf>
    <xf numFmtId="0" fontId="13" fillId="5" borderId="1" xfId="0" applyFont="1" applyFill="1" applyBorder="1" applyAlignment="1">
      <alignment vertical="center" wrapText="1"/>
    </xf>
    <xf numFmtId="9" fontId="3" fillId="5" borderId="1" xfId="0" applyNumberFormat="1" applyFont="1" applyFill="1" applyBorder="1" applyAlignment="1">
      <alignment horizontal="center" vertical="center" wrapText="1"/>
    </xf>
    <xf numFmtId="9" fontId="3" fillId="5" borderId="1" xfId="0" applyNumberFormat="1" applyFont="1" applyFill="1" applyBorder="1" applyAlignment="1">
      <alignment horizontal="center" vertical="center"/>
    </xf>
    <xf numFmtId="9" fontId="3" fillId="5" borderId="3" xfId="0" applyNumberFormat="1" applyFont="1" applyFill="1" applyBorder="1" applyAlignment="1">
      <alignment horizontal="center" vertical="center"/>
    </xf>
    <xf numFmtId="49" fontId="51" fillId="29"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13" fillId="0" borderId="2" xfId="0" applyFont="1" applyFill="1" applyBorder="1" applyAlignment="1">
      <alignment vertical="center" wrapText="1"/>
    </xf>
    <xf numFmtId="0" fontId="39" fillId="18" borderId="1" xfId="0" applyFont="1" applyFill="1" applyBorder="1" applyAlignment="1">
      <alignment vertical="center" wrapText="1"/>
    </xf>
    <xf numFmtId="0" fontId="39" fillId="18" borderId="1" xfId="0" applyFont="1" applyFill="1" applyBorder="1" applyAlignment="1">
      <alignment horizontal="center" vertical="center" wrapText="1"/>
    </xf>
    <xf numFmtId="0" fontId="0" fillId="18" borderId="2" xfId="0" applyFont="1" applyFill="1" applyBorder="1" applyAlignment="1">
      <alignment vertical="center" wrapText="1"/>
    </xf>
    <xf numFmtId="0" fontId="0" fillId="18" borderId="2" xfId="0" applyFont="1" applyFill="1" applyBorder="1" applyAlignment="1">
      <alignment horizontal="center" vertical="center" wrapText="1"/>
    </xf>
    <xf numFmtId="0" fontId="0" fillId="18" borderId="2" xfId="0" applyFont="1" applyFill="1" applyBorder="1" applyAlignment="1">
      <alignment horizontal="left" vertical="center" wrapText="1"/>
    </xf>
    <xf numFmtId="0" fontId="0" fillId="18" borderId="1" xfId="19" applyNumberFormat="1" applyFont="1" applyFill="1" applyBorder="1" applyAlignment="1">
      <alignment vertical="center"/>
    </xf>
    <xf numFmtId="49" fontId="51" fillId="27" borderId="1" xfId="0" applyNumberFormat="1" applyFont="1" applyFill="1" applyBorder="1" applyAlignment="1">
      <alignment horizontal="center" vertical="center" wrapText="1"/>
    </xf>
    <xf numFmtId="0" fontId="39" fillId="33" borderId="1" xfId="0" applyFont="1" applyFill="1" applyBorder="1" applyAlignment="1">
      <alignment vertical="center" wrapText="1"/>
    </xf>
    <xf numFmtId="0" fontId="39" fillId="33" borderId="1" xfId="0" applyFont="1" applyFill="1" applyBorder="1" applyAlignment="1">
      <alignment horizontal="center" vertical="center" wrapText="1"/>
    </xf>
    <xf numFmtId="0" fontId="13" fillId="33" borderId="1" xfId="0" applyFont="1" applyFill="1" applyBorder="1" applyAlignment="1">
      <alignment horizontal="left" vertical="center" wrapText="1"/>
    </xf>
    <xf numFmtId="0" fontId="0" fillId="33" borderId="2" xfId="0" applyFont="1" applyFill="1" applyBorder="1" applyAlignment="1">
      <alignment horizontal="center" vertical="center" wrapText="1"/>
    </xf>
    <xf numFmtId="0" fontId="0" fillId="33" borderId="2" xfId="0" applyFont="1" applyFill="1" applyBorder="1" applyAlignment="1">
      <alignment horizontal="left" vertical="center" wrapText="1"/>
    </xf>
    <xf numFmtId="0" fontId="0" fillId="33" borderId="2" xfId="0" applyFont="1" applyFill="1" applyBorder="1" applyAlignment="1">
      <alignment vertical="center" wrapText="1"/>
    </xf>
    <xf numFmtId="0" fontId="0" fillId="33" borderId="1" xfId="19" applyNumberFormat="1" applyFont="1" applyFill="1" applyBorder="1" applyAlignment="1">
      <alignment vertical="center"/>
    </xf>
    <xf numFmtId="0" fontId="0" fillId="5" borderId="1" xfId="19" applyNumberFormat="1" applyFont="1" applyFill="1" applyBorder="1" applyAlignment="1">
      <alignment horizontal="center" vertical="center" wrapText="1"/>
    </xf>
    <xf numFmtId="49" fontId="51" fillId="34" borderId="1" xfId="0" applyNumberFormat="1" applyFont="1" applyFill="1" applyBorder="1" applyAlignment="1">
      <alignment horizontal="center" vertical="center"/>
    </xf>
    <xf numFmtId="0" fontId="0" fillId="18" borderId="1" xfId="0" applyFont="1" applyFill="1" applyBorder="1" applyAlignment="1">
      <alignment horizontal="left" vertical="center" wrapText="1"/>
    </xf>
    <xf numFmtId="0" fontId="0" fillId="18" borderId="1" xfId="0" applyFont="1" applyFill="1" applyBorder="1" applyAlignment="1">
      <alignment horizontal="center" vertical="center" wrapText="1"/>
    </xf>
    <xf numFmtId="9" fontId="0" fillId="18" borderId="1" xfId="0" applyNumberFormat="1" applyFont="1" applyFill="1" applyBorder="1" applyAlignment="1">
      <alignment horizontal="left" vertical="center" wrapText="1"/>
    </xf>
    <xf numFmtId="0" fontId="0" fillId="18" borderId="1" xfId="19" applyNumberFormat="1" applyFont="1" applyFill="1" applyBorder="1" applyAlignment="1">
      <alignment horizontal="center" vertical="center"/>
    </xf>
    <xf numFmtId="0" fontId="0" fillId="18" borderId="1" xfId="19" applyNumberFormat="1" applyFont="1" applyFill="1" applyBorder="1" applyAlignment="1">
      <alignment horizontal="left" vertical="center" wrapText="1"/>
    </xf>
    <xf numFmtId="0" fontId="0" fillId="18" borderId="1" xfId="19" applyNumberFormat="1" applyFont="1" applyFill="1" applyBorder="1" applyAlignment="1">
      <alignment horizontal="left" vertical="center"/>
    </xf>
    <xf numFmtId="9" fontId="14" fillId="5" borderId="1" xfId="0" applyNumberFormat="1" applyFont="1" applyFill="1" applyBorder="1" applyAlignment="1">
      <alignment horizontal="center" vertical="center" wrapText="1"/>
    </xf>
    <xf numFmtId="0" fontId="0" fillId="33" borderId="1" xfId="0" applyFont="1" applyFill="1" applyBorder="1" applyAlignment="1">
      <alignment horizontal="left" vertical="center" wrapText="1"/>
    </xf>
    <xf numFmtId="0" fontId="0" fillId="33" borderId="1" xfId="0" applyFont="1" applyFill="1" applyBorder="1" applyAlignment="1">
      <alignment horizontal="center" vertical="center" wrapText="1"/>
    </xf>
    <xf numFmtId="9" fontId="0" fillId="33" borderId="1" xfId="0" applyNumberFormat="1" applyFont="1" applyFill="1" applyBorder="1" applyAlignment="1">
      <alignment horizontal="left" vertical="center" wrapText="1"/>
    </xf>
    <xf numFmtId="0" fontId="0" fillId="33" borderId="1" xfId="19" applyNumberFormat="1" applyFont="1" applyFill="1" applyBorder="1" applyAlignment="1">
      <alignment horizontal="center" vertical="center"/>
    </xf>
    <xf numFmtId="0" fontId="0" fillId="33" borderId="1" xfId="19" applyNumberFormat="1" applyFont="1" applyFill="1" applyBorder="1" applyAlignment="1">
      <alignment horizontal="left" vertical="center" wrapText="1"/>
    </xf>
    <xf numFmtId="0" fontId="0" fillId="33" borderId="1" xfId="19" applyNumberFormat="1" applyFont="1" applyFill="1" applyBorder="1" applyAlignment="1">
      <alignment horizontal="left" vertical="center"/>
    </xf>
    <xf numFmtId="49" fontId="3" fillId="27" borderId="1" xfId="0" applyNumberFormat="1" applyFont="1" applyFill="1" applyBorder="1" applyAlignment="1">
      <alignment horizontal="center" vertical="center"/>
    </xf>
    <xf numFmtId="0" fontId="3"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0" fillId="5" borderId="2" xfId="0" applyFont="1" applyFill="1" applyBorder="1" applyAlignment="1">
      <alignment horizontal="left" vertical="center" wrapText="1"/>
    </xf>
    <xf numFmtId="0" fontId="14" fillId="0" borderId="2" xfId="0" applyFont="1" applyFill="1" applyBorder="1" applyAlignment="1">
      <alignment vertical="center" wrapText="1"/>
    </xf>
    <xf numFmtId="0" fontId="39" fillId="0" borderId="1" xfId="0" applyFont="1" applyFill="1" applyBorder="1" applyAlignment="1">
      <alignment vertical="center" wrapText="1"/>
    </xf>
    <xf numFmtId="0" fontId="39" fillId="5" borderId="1" xfId="0" applyFont="1" applyFill="1" applyBorder="1" applyAlignment="1">
      <alignment horizontal="left" vertical="center" wrapText="1"/>
    </xf>
    <xf numFmtId="0" fontId="14" fillId="0" borderId="1" xfId="0" applyFont="1" applyFill="1" applyBorder="1" applyAlignment="1">
      <alignment vertical="center" wrapText="1"/>
    </xf>
    <xf numFmtId="0" fontId="3" fillId="0" borderId="3" xfId="0" applyFont="1" applyFill="1" applyBorder="1" applyAlignment="1">
      <alignment horizontal="center" vertical="center"/>
    </xf>
    <xf numFmtId="0" fontId="3" fillId="0" borderId="0" xfId="0" applyFont="1" applyAlignment="1">
      <alignment horizontal="center"/>
    </xf>
    <xf numFmtId="0" fontId="39" fillId="35" borderId="1" xfId="0" applyFont="1" applyFill="1" applyBorder="1" applyAlignment="1">
      <alignment vertical="center" wrapText="1"/>
    </xf>
    <xf numFmtId="0" fontId="39" fillId="35" borderId="1" xfId="0" applyFont="1" applyFill="1" applyBorder="1" applyAlignment="1">
      <alignment horizontal="center" vertical="center" wrapText="1"/>
    </xf>
    <xf numFmtId="0" fontId="0" fillId="35" borderId="1" xfId="0" applyFont="1" applyFill="1" applyBorder="1" applyAlignment="1">
      <alignment horizontal="left" vertical="center" wrapText="1"/>
    </xf>
    <xf numFmtId="0" fontId="0" fillId="35" borderId="1" xfId="0" applyFont="1" applyFill="1" applyBorder="1" applyAlignment="1">
      <alignment horizontal="center" vertical="center" wrapText="1"/>
    </xf>
    <xf numFmtId="0" fontId="0" fillId="35" borderId="1" xfId="19" applyNumberFormat="1" applyFont="1" applyFill="1" applyBorder="1" applyAlignment="1">
      <alignment horizontal="left" vertical="center"/>
    </xf>
    <xf numFmtId="49" fontId="51" fillId="5" borderId="1" xfId="0" applyNumberFormat="1" applyFont="1" applyFill="1" applyBorder="1" applyAlignment="1">
      <alignment horizontal="center" vertical="center" wrapText="1"/>
    </xf>
    <xf numFmtId="4" fontId="52" fillId="5" borderId="6" xfId="19" applyNumberFormat="1" applyFont="1" applyFill="1" applyBorder="1" applyAlignment="1">
      <alignment vertical="center" wrapText="1"/>
    </xf>
    <xf numFmtId="172" fontId="3" fillId="0" borderId="0" xfId="0" applyNumberFormat="1" applyFont="1"/>
    <xf numFmtId="172" fontId="0" fillId="36" borderId="39" xfId="0" applyNumberFormat="1" applyFill="1" applyBorder="1"/>
    <xf numFmtId="172" fontId="54" fillId="36" borderId="40" xfId="19" applyNumberFormat="1" applyFont="1" applyFill="1" applyBorder="1" applyAlignment="1">
      <alignment horizontal="right" vertical="center" wrapText="1"/>
    </xf>
    <xf numFmtId="177" fontId="0" fillId="36" borderId="41" xfId="0" applyNumberFormat="1" applyFill="1" applyBorder="1"/>
    <xf numFmtId="41" fontId="0" fillId="0" borderId="0" xfId="2" applyFont="1"/>
    <xf numFmtId="0" fontId="3" fillId="0" borderId="0" xfId="0" applyFont="1"/>
    <xf numFmtId="0" fontId="55" fillId="0" borderId="0" xfId="0" applyFont="1"/>
    <xf numFmtId="0" fontId="56" fillId="0" borderId="0" xfId="0" applyFont="1"/>
    <xf numFmtId="43" fontId="3" fillId="0" borderId="0" xfId="0" applyNumberFormat="1" applyFont="1"/>
    <xf numFmtId="166" fontId="0" fillId="0" borderId="0" xfId="2" applyNumberFormat="1" applyFont="1"/>
    <xf numFmtId="172" fontId="3" fillId="37" borderId="0" xfId="0" applyNumberFormat="1" applyFont="1" applyFill="1" applyAlignment="1">
      <alignment horizontal="right"/>
    </xf>
    <xf numFmtId="4" fontId="57" fillId="38" borderId="42" xfId="0" applyNumberFormat="1" applyFont="1" applyFill="1" applyBorder="1" applyAlignment="1">
      <alignment horizontal="center" vertical="center" wrapText="1"/>
    </xf>
    <xf numFmtId="181" fontId="42" fillId="0" borderId="0" xfId="0" applyNumberFormat="1" applyFont="1" applyAlignment="1">
      <alignment horizontal="center"/>
    </xf>
    <xf numFmtId="0" fontId="0" fillId="0" borderId="0" xfId="0" applyFont="1"/>
    <xf numFmtId="0" fontId="0" fillId="0" borderId="0" xfId="0" applyFont="1" applyAlignment="1">
      <alignment horizontal="center" vertical="center"/>
    </xf>
    <xf numFmtId="0" fontId="0" fillId="0" borderId="0" xfId="0" applyFont="1" applyAlignment="1">
      <alignment horizontal="center"/>
    </xf>
    <xf numFmtId="0" fontId="0" fillId="0" borderId="0" xfId="0" applyFont="1" applyAlignment="1">
      <alignment vertical="center"/>
    </xf>
    <xf numFmtId="4" fontId="50" fillId="39" borderId="0" xfId="59" applyNumberFormat="1" applyFont="1" applyFill="1" applyBorder="1" applyAlignment="1">
      <alignment horizontal="center" vertical="center" wrapText="1"/>
    </xf>
    <xf numFmtId="43" fontId="0" fillId="0" borderId="0" xfId="0" applyNumberFormat="1"/>
    <xf numFmtId="43" fontId="42" fillId="0" borderId="0" xfId="0" applyNumberFormat="1" applyFont="1"/>
    <xf numFmtId="166" fontId="0" fillId="0" borderId="0" xfId="2" applyNumberFormat="1" applyFont="1" applyAlignment="1"/>
    <xf numFmtId="172" fontId="0" fillId="0" borderId="0" xfId="19" applyFont="1"/>
    <xf numFmtId="166" fontId="0" fillId="0" borderId="0" xfId="2" applyNumberFormat="1" applyFont="1" applyFill="1" applyBorder="1" applyAlignment="1"/>
    <xf numFmtId="0" fontId="3" fillId="0" borderId="23" xfId="0" applyFont="1" applyBorder="1"/>
    <xf numFmtId="0" fontId="3" fillId="0" borderId="23" xfId="0" applyFont="1" applyBorder="1" applyAlignment="1">
      <alignment horizontal="center"/>
    </xf>
    <xf numFmtId="0" fontId="55" fillId="0" borderId="0" xfId="0" applyFont="1" applyBorder="1"/>
    <xf numFmtId="0" fontId="0" fillId="0" borderId="23" xfId="0" applyBorder="1"/>
    <xf numFmtId="166" fontId="56" fillId="0" borderId="0" xfId="2" applyNumberFormat="1" applyFont="1" applyFill="1" applyBorder="1" applyAlignment="1"/>
    <xf numFmtId="0" fontId="56" fillId="0" borderId="0" xfId="0" applyFont="1" applyFill="1" applyBorder="1"/>
    <xf numFmtId="0" fontId="3" fillId="0" borderId="0" xfId="0" applyFont="1" applyBorder="1"/>
    <xf numFmtId="0" fontId="3" fillId="0" borderId="0" xfId="0" applyFont="1" applyBorder="1" applyAlignment="1">
      <alignment horizontal="center"/>
    </xf>
    <xf numFmtId="0" fontId="0" fillId="0" borderId="0" xfId="0" applyBorder="1"/>
    <xf numFmtId="166" fontId="55" fillId="0" borderId="0" xfId="0" applyNumberFormat="1" applyFont="1" applyFill="1" applyBorder="1" applyAlignment="1">
      <alignment horizontal="center"/>
    </xf>
    <xf numFmtId="0" fontId="58" fillId="0" borderId="0" xfId="33" applyFont="1"/>
    <xf numFmtId="0" fontId="58" fillId="0" borderId="0" xfId="33" applyFont="1" applyAlignment="1"/>
    <xf numFmtId="166" fontId="56" fillId="0" borderId="0" xfId="0" applyNumberFormat="1" applyFont="1" applyFill="1" applyBorder="1" applyAlignment="1"/>
    <xf numFmtId="166" fontId="56" fillId="0" borderId="0" xfId="0" applyNumberFormat="1" applyFont="1" applyFill="1" applyBorder="1"/>
    <xf numFmtId="0" fontId="11" fillId="0" borderId="0" xfId="33" applyFont="1"/>
    <xf numFmtId="0" fontId="11" fillId="0" borderId="0" xfId="33"/>
    <xf numFmtId="166" fontId="56" fillId="0" borderId="0" xfId="0" applyNumberFormat="1" applyFont="1" applyAlignment="1"/>
    <xf numFmtId="0" fontId="0" fillId="0" borderId="0" xfId="0" applyAlignment="1"/>
    <xf numFmtId="166" fontId="55" fillId="0" borderId="0" xfId="0" applyNumberFormat="1" applyFont="1" applyAlignment="1"/>
    <xf numFmtId="38" fontId="37" fillId="25" borderId="31" xfId="40" applyNumberFormat="1" applyFont="1" applyFill="1" applyBorder="1" applyAlignment="1">
      <alignment horizontal="center" vertical="center" wrapText="1"/>
    </xf>
    <xf numFmtId="38" fontId="34" fillId="25" borderId="31" xfId="40" applyNumberFormat="1" applyFont="1" applyFill="1" applyBorder="1" applyAlignment="1">
      <alignment horizontal="center" vertical="center" wrapText="1"/>
    </xf>
    <xf numFmtId="38" fontId="37" fillId="25" borderId="32" xfId="40" applyNumberFormat="1" applyFont="1" applyFill="1" applyBorder="1" applyAlignment="1">
      <alignment horizontal="center" vertical="center" wrapText="1"/>
    </xf>
    <xf numFmtId="38" fontId="37" fillId="25" borderId="33" xfId="40" applyNumberFormat="1" applyFont="1" applyFill="1" applyBorder="1" applyAlignment="1">
      <alignment horizontal="center" vertical="center" wrapText="1"/>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 fillId="0" borderId="0" xfId="0" applyFont="1"/>
    <xf numFmtId="0" fontId="1" fillId="0" borderId="1" xfId="0" applyFont="1" applyBorder="1"/>
    <xf numFmtId="38" fontId="55" fillId="25" borderId="33" xfId="40" applyNumberFormat="1" applyFont="1" applyFill="1" applyBorder="1" applyAlignment="1">
      <alignment horizontal="center" vertical="center" wrapText="1"/>
    </xf>
    <xf numFmtId="180" fontId="63" fillId="19" borderId="1" xfId="19" applyNumberFormat="1" applyFont="1" applyFill="1" applyBorder="1" applyAlignment="1">
      <alignment vertical="center" wrapText="1"/>
    </xf>
    <xf numFmtId="4" fontId="63" fillId="5" borderId="6" xfId="19" applyNumberFormat="1" applyFont="1" applyFill="1" applyBorder="1" applyAlignment="1">
      <alignment vertical="center" wrapText="1"/>
    </xf>
    <xf numFmtId="4" fontId="64" fillId="5" borderId="1" xfId="19" applyNumberFormat="1" applyFont="1" applyFill="1" applyBorder="1" applyAlignment="1">
      <alignment vertical="center" wrapText="1"/>
    </xf>
    <xf numFmtId="4" fontId="63" fillId="20" borderId="6" xfId="19" applyNumberFormat="1" applyFont="1" applyFill="1" applyBorder="1" applyAlignment="1">
      <alignment vertical="center" wrapText="1"/>
    </xf>
    <xf numFmtId="4" fontId="64" fillId="5" borderId="1" xfId="0" applyNumberFormat="1" applyFont="1" applyFill="1" applyBorder="1"/>
    <xf numFmtId="4" fontId="64" fillId="5" borderId="1" xfId="19" applyNumberFormat="1" applyFont="1" applyFill="1" applyBorder="1" applyAlignment="1">
      <alignment horizontal="center" vertical="center" wrapText="1"/>
    </xf>
    <xf numFmtId="4" fontId="63" fillId="28" borderId="6" xfId="19" applyNumberFormat="1" applyFont="1" applyFill="1" applyBorder="1" applyAlignment="1">
      <alignment vertical="center" wrapText="1"/>
    </xf>
    <xf numFmtId="172" fontId="54" fillId="5" borderId="6" xfId="19" applyNumberFormat="1" applyFont="1" applyFill="1" applyBorder="1" applyAlignment="1">
      <alignment vertical="center" wrapText="1"/>
    </xf>
    <xf numFmtId="4" fontId="63" fillId="20" borderId="1" xfId="19" applyNumberFormat="1" applyFont="1" applyFill="1" applyBorder="1" applyAlignment="1">
      <alignment vertical="center" wrapText="1"/>
    </xf>
    <xf numFmtId="4" fontId="64" fillId="28" borderId="1" xfId="19" applyNumberFormat="1" applyFont="1" applyFill="1" applyBorder="1" applyAlignment="1">
      <alignment horizontal="center" vertical="center" wrapText="1"/>
    </xf>
    <xf numFmtId="4" fontId="63" fillId="5" borderId="1" xfId="19" applyNumberFormat="1" applyFont="1" applyFill="1" applyBorder="1" applyAlignment="1">
      <alignment vertical="center" wrapText="1"/>
    </xf>
    <xf numFmtId="4" fontId="63" fillId="30" borderId="1" xfId="19" applyNumberFormat="1" applyFont="1" applyFill="1" applyBorder="1" applyAlignment="1">
      <alignment vertical="center" wrapText="1"/>
    </xf>
    <xf numFmtId="4" fontId="63" fillId="31" borderId="6" xfId="19" applyNumberFormat="1" applyFont="1" applyFill="1" applyBorder="1" applyAlignment="1">
      <alignment vertical="center" wrapText="1"/>
    </xf>
    <xf numFmtId="4" fontId="63" fillId="19" borderId="1" xfId="19" applyNumberFormat="1" applyFont="1" applyFill="1" applyBorder="1" applyAlignment="1">
      <alignment vertical="center" wrapText="1"/>
    </xf>
    <xf numFmtId="4" fontId="54" fillId="19" borderId="1" xfId="19" applyNumberFormat="1" applyFont="1" applyFill="1" applyBorder="1" applyAlignment="1">
      <alignment vertical="center" wrapText="1"/>
    </xf>
    <xf numFmtId="4" fontId="65" fillId="5" borderId="1" xfId="19" applyNumberFormat="1" applyFont="1" applyFill="1" applyBorder="1" applyAlignment="1">
      <alignment vertical="center" wrapText="1"/>
    </xf>
    <xf numFmtId="4" fontId="54" fillId="5" borderId="1" xfId="19" applyNumberFormat="1" applyFont="1" applyFill="1" applyBorder="1" applyAlignment="1">
      <alignment vertical="center" wrapText="1"/>
    </xf>
    <xf numFmtId="0" fontId="65" fillId="0" borderId="0" xfId="0" applyFont="1"/>
    <xf numFmtId="0" fontId="65" fillId="5" borderId="0" xfId="0" applyFont="1" applyFill="1"/>
    <xf numFmtId="4" fontId="63" fillId="5" borderId="1" xfId="19" applyNumberFormat="1" applyFont="1" applyFill="1" applyBorder="1" applyAlignment="1">
      <alignment horizontal="right" vertical="center" wrapText="1"/>
    </xf>
    <xf numFmtId="4" fontId="64" fillId="5" borderId="1" xfId="19" applyNumberFormat="1" applyFont="1" applyFill="1" applyBorder="1" applyAlignment="1">
      <alignment horizontal="right" vertical="center" wrapText="1"/>
    </xf>
    <xf numFmtId="4" fontId="63" fillId="12" borderId="1" xfId="19" applyNumberFormat="1" applyFont="1" applyFill="1" applyBorder="1" applyAlignment="1">
      <alignment vertical="center" wrapText="1"/>
    </xf>
    <xf numFmtId="0" fontId="65" fillId="0" borderId="1" xfId="0" applyFont="1" applyBorder="1"/>
    <xf numFmtId="4" fontId="63" fillId="5" borderId="1" xfId="19" applyNumberFormat="1" applyFont="1" applyFill="1" applyBorder="1" applyAlignment="1">
      <alignment horizontal="center" vertical="center" wrapText="1"/>
    </xf>
    <xf numFmtId="4" fontId="64" fillId="5" borderId="6" xfId="19" applyNumberFormat="1" applyFont="1" applyFill="1" applyBorder="1" applyAlignment="1">
      <alignment horizontal="center" vertical="center" wrapText="1"/>
    </xf>
    <xf numFmtId="172" fontId="65" fillId="36" borderId="39" xfId="0" applyNumberFormat="1" applyFont="1" applyFill="1" applyBorder="1"/>
    <xf numFmtId="4" fontId="67" fillId="38" borderId="42" xfId="0" applyNumberFormat="1" applyFont="1" applyFill="1" applyBorder="1" applyAlignment="1">
      <alignment horizontal="center" vertical="center" wrapText="1"/>
    </xf>
    <xf numFmtId="4" fontId="55" fillId="36" borderId="0" xfId="59" applyNumberFormat="1" applyFont="1" applyFill="1" applyAlignment="1">
      <alignment vertical="center" wrapText="1"/>
    </xf>
    <xf numFmtId="4" fontId="55" fillId="39" borderId="0" xfId="59" applyNumberFormat="1" applyFont="1" applyFill="1" applyBorder="1" applyAlignment="1">
      <alignment horizontal="center" vertical="center" wrapText="1"/>
    </xf>
    <xf numFmtId="4" fontId="54" fillId="39" borderId="0" xfId="59" applyNumberFormat="1" applyFont="1" applyFill="1" applyBorder="1" applyAlignment="1">
      <alignment horizontal="center" vertical="center" wrapText="1"/>
    </xf>
    <xf numFmtId="4" fontId="55" fillId="0" borderId="0" xfId="59" applyNumberFormat="1" applyFont="1" applyFill="1" applyBorder="1" applyAlignment="1">
      <alignment horizontal="center" vertical="center" wrapText="1"/>
    </xf>
    <xf numFmtId="4" fontId="66" fillId="0" borderId="0" xfId="59" applyNumberFormat="1" applyFont="1" applyFill="1" applyBorder="1" applyAlignment="1">
      <alignment horizontal="center" vertical="center" wrapText="1"/>
    </xf>
    <xf numFmtId="172" fontId="65" fillId="0" borderId="0" xfId="19" applyFont="1"/>
    <xf numFmtId="172" fontId="65" fillId="0" borderId="0" xfId="19" applyFont="1" applyFill="1" applyBorder="1"/>
    <xf numFmtId="172" fontId="65" fillId="0" borderId="0" xfId="0" applyNumberFormat="1" applyFont="1" applyFill="1" applyBorder="1"/>
    <xf numFmtId="0" fontId="65" fillId="0" borderId="0" xfId="0" applyFont="1" applyFill="1" applyBorder="1"/>
    <xf numFmtId="0" fontId="54" fillId="0" borderId="0" xfId="0" applyFont="1" applyFill="1" applyBorder="1" applyAlignment="1">
      <alignment horizontal="center"/>
    </xf>
    <xf numFmtId="4" fontId="65" fillId="0" borderId="0" xfId="0" applyNumberFormat="1" applyFont="1"/>
    <xf numFmtId="172" fontId="65" fillId="0" borderId="0" xfId="0" applyNumberFormat="1" applyFont="1"/>
    <xf numFmtId="0" fontId="54" fillId="0" borderId="0" xfId="0" applyFont="1" applyAlignment="1">
      <alignment horizontal="center"/>
    </xf>
    <xf numFmtId="38" fontId="56" fillId="25" borderId="31" xfId="40" applyNumberFormat="1" applyFont="1" applyFill="1" applyBorder="1" applyAlignment="1">
      <alignment horizontal="center" vertical="center" wrapText="1"/>
    </xf>
    <xf numFmtId="49" fontId="65" fillId="5" borderId="1" xfId="0" applyNumberFormat="1" applyFont="1" applyFill="1" applyBorder="1" applyAlignment="1">
      <alignment wrapText="1"/>
    </xf>
    <xf numFmtId="0" fontId="65" fillId="0" borderId="1" xfId="0" applyFont="1" applyFill="1" applyBorder="1" applyAlignment="1">
      <alignment vertical="center" wrapText="1"/>
    </xf>
    <xf numFmtId="49" fontId="65" fillId="18" borderId="1" xfId="0" applyNumberFormat="1" applyFont="1" applyFill="1" applyBorder="1" applyAlignment="1">
      <alignment wrapText="1"/>
    </xf>
    <xf numFmtId="49" fontId="65" fillId="33" borderId="1" xfId="0" applyNumberFormat="1" applyFont="1" applyFill="1" applyBorder="1" applyAlignment="1">
      <alignment wrapText="1"/>
    </xf>
    <xf numFmtId="49" fontId="65" fillId="35" borderId="1" xfId="0" applyNumberFormat="1" applyFont="1" applyFill="1" applyBorder="1" applyAlignment="1">
      <alignment wrapText="1"/>
    </xf>
    <xf numFmtId="38" fontId="50" fillId="25" borderId="31" xfId="40" applyNumberFormat="1" applyFont="1" applyFill="1" applyBorder="1" applyAlignment="1">
      <alignment horizontal="center" vertical="center" wrapText="1"/>
    </xf>
    <xf numFmtId="38" fontId="50" fillId="25" borderId="31" xfId="40" applyNumberFormat="1" applyFont="1" applyFill="1" applyBorder="1" applyAlignment="1">
      <alignment horizontal="justify" vertical="center" wrapText="1"/>
    </xf>
    <xf numFmtId="38" fontId="50" fillId="25" borderId="43" xfId="40" applyNumberFormat="1" applyFont="1" applyFill="1" applyBorder="1" applyAlignment="1">
      <alignment horizontal="center" vertical="center" wrapText="1"/>
    </xf>
    <xf numFmtId="38" fontId="50" fillId="23" borderId="44" xfId="40" applyNumberFormat="1" applyFont="1" applyFill="1" applyBorder="1" applyAlignment="1">
      <alignment horizontal="center" vertical="center" wrapText="1"/>
    </xf>
    <xf numFmtId="49" fontId="50" fillId="23" borderId="45" xfId="40" applyNumberFormat="1" applyFont="1" applyFill="1" applyBorder="1" applyAlignment="1">
      <alignment horizontal="center" vertical="center" wrapText="1"/>
    </xf>
    <xf numFmtId="0" fontId="68" fillId="16" borderId="46" xfId="0" applyFont="1" applyFill="1" applyBorder="1" applyAlignment="1">
      <alignment horizontal="center" vertical="center" wrapText="1"/>
    </xf>
    <xf numFmtId="0" fontId="68" fillId="16" borderId="47" xfId="0" applyFont="1" applyFill="1" applyBorder="1" applyAlignment="1">
      <alignment horizontal="center" vertical="center" wrapText="1"/>
    </xf>
    <xf numFmtId="1" fontId="68" fillId="16" borderId="1" xfId="0" applyNumberFormat="1" applyFont="1" applyFill="1" applyBorder="1" applyAlignment="1">
      <alignment horizontal="center" vertical="center" wrapText="1"/>
    </xf>
    <xf numFmtId="0" fontId="68" fillId="16" borderId="1" xfId="0" applyFont="1" applyFill="1" applyBorder="1" applyAlignment="1">
      <alignment horizontal="center" vertical="center" wrapText="1"/>
    </xf>
    <xf numFmtId="0" fontId="68" fillId="16" borderId="1" xfId="0" applyFont="1" applyFill="1" applyBorder="1" applyAlignment="1">
      <alignment horizontal="left" vertical="center" wrapText="1"/>
    </xf>
    <xf numFmtId="0" fontId="68" fillId="40" borderId="1" xfId="0" applyFont="1" applyFill="1" applyBorder="1" applyAlignment="1">
      <alignment horizontal="center" vertical="center" wrapText="1"/>
    </xf>
    <xf numFmtId="0" fontId="69" fillId="40" borderId="1" xfId="0" applyFont="1" applyFill="1" applyBorder="1" applyAlignment="1">
      <alignment horizontal="center" vertical="center" wrapText="1"/>
    </xf>
    <xf numFmtId="0" fontId="69" fillId="40" borderId="1" xfId="0" applyFont="1" applyFill="1" applyBorder="1" applyAlignment="1">
      <alignment horizontal="left" vertical="center" wrapText="1"/>
    </xf>
    <xf numFmtId="0" fontId="54" fillId="40" borderId="1" xfId="0" applyFont="1" applyFill="1" applyBorder="1" applyAlignment="1">
      <alignment vertical="center" wrapText="1"/>
    </xf>
    <xf numFmtId="0" fontId="6" fillId="41" borderId="1" xfId="0" applyFont="1" applyFill="1" applyBorder="1" applyAlignment="1">
      <alignment horizontal="center" vertical="center" wrapText="1"/>
    </xf>
    <xf numFmtId="4" fontId="70" fillId="41" borderId="2" xfId="30" applyNumberFormat="1" applyFont="1" applyFill="1" applyBorder="1" applyAlignment="1">
      <alignment horizontal="center" vertical="center" wrapText="1"/>
    </xf>
    <xf numFmtId="0" fontId="71" fillId="41" borderId="2" xfId="30" applyFont="1" applyFill="1" applyBorder="1" applyAlignment="1">
      <alignment horizontal="center" vertical="center" wrapText="1"/>
    </xf>
    <xf numFmtId="0" fontId="72" fillId="0" borderId="1" xfId="0" applyFont="1" applyBorder="1" applyAlignment="1">
      <alignment horizontal="center" vertical="center" wrapText="1"/>
    </xf>
    <xf numFmtId="0" fontId="14" fillId="14" borderId="2" xfId="30" applyFont="1" applyFill="1" applyBorder="1" applyAlignment="1">
      <alignment horizontal="center" vertical="center" wrapText="1"/>
    </xf>
    <xf numFmtId="0" fontId="14" fillId="34" borderId="2" xfId="30" applyFont="1" applyFill="1" applyBorder="1" applyAlignment="1">
      <alignment horizontal="center" vertical="center" wrapText="1"/>
    </xf>
    <xf numFmtId="9" fontId="14" fillId="24" borderId="2" xfId="45" applyFont="1" applyFill="1" applyBorder="1" applyAlignment="1">
      <alignment horizontal="center" vertical="center" wrapText="1"/>
    </xf>
    <xf numFmtId="0" fontId="14" fillId="42" borderId="2" xfId="30" applyFont="1" applyFill="1" applyBorder="1" applyAlignment="1">
      <alignment horizontal="center" vertical="center" wrapText="1"/>
    </xf>
    <xf numFmtId="9" fontId="14" fillId="21" borderId="2" xfId="45" applyFont="1" applyFill="1" applyBorder="1" applyAlignment="1">
      <alignment horizontal="center" vertical="center" wrapText="1"/>
    </xf>
    <xf numFmtId="0" fontId="14" fillId="26" borderId="2" xfId="30" applyFont="1" applyFill="1" applyBorder="1" applyAlignment="1">
      <alignment horizontal="center" vertical="center" wrapText="1"/>
    </xf>
    <xf numFmtId="4" fontId="14" fillId="4" borderId="2" xfId="30" applyNumberFormat="1" applyFont="1" applyFill="1" applyBorder="1" applyAlignment="1">
      <alignment horizontal="center" vertical="center" wrapText="1"/>
    </xf>
    <xf numFmtId="4" fontId="53" fillId="43" borderId="2" xfId="30" applyNumberFormat="1" applyFont="1" applyFill="1" applyBorder="1" applyAlignment="1">
      <alignment horizontal="center" vertical="center" wrapText="1"/>
    </xf>
    <xf numFmtId="4" fontId="14" fillId="24" borderId="2" xfId="30" applyNumberFormat="1" applyFont="1" applyFill="1" applyBorder="1" applyAlignment="1">
      <alignment horizontal="center" vertical="center" wrapText="1"/>
    </xf>
    <xf numFmtId="4" fontId="14" fillId="3" borderId="2" xfId="45" applyNumberFormat="1" applyFont="1" applyFill="1" applyBorder="1" applyAlignment="1">
      <alignment horizontal="center" vertical="center" wrapText="1"/>
    </xf>
    <xf numFmtId="4" fontId="55" fillId="29" borderId="2" xfId="30" applyNumberFormat="1" applyFont="1" applyFill="1" applyBorder="1" applyAlignment="1">
      <alignment horizontal="center" vertical="center" wrapText="1"/>
    </xf>
    <xf numFmtId="9" fontId="14" fillId="44" borderId="2" xfId="45" applyFont="1" applyFill="1" applyBorder="1" applyAlignment="1">
      <alignment horizontal="center" vertical="center" wrapText="1"/>
    </xf>
    <xf numFmtId="9" fontId="14" fillId="34" borderId="2" xfId="45" applyFont="1" applyFill="1" applyBorder="1" applyAlignment="1">
      <alignment horizontal="center" vertical="center" wrapText="1"/>
    </xf>
    <xf numFmtId="4" fontId="73" fillId="45" borderId="2" xfId="30" applyNumberFormat="1" applyFont="1" applyFill="1" applyBorder="1" applyAlignment="1">
      <alignment horizontal="center" vertical="center" wrapText="1"/>
    </xf>
    <xf numFmtId="4" fontId="73" fillId="46" borderId="2" xfId="30" applyNumberFormat="1" applyFont="1" applyFill="1" applyBorder="1" applyAlignment="1">
      <alignment horizontal="center" vertical="center" wrapText="1"/>
    </xf>
    <xf numFmtId="4" fontId="74" fillId="43" borderId="2" xfId="30" applyNumberFormat="1" applyFont="1" applyFill="1" applyBorder="1" applyAlignment="1">
      <alignment horizontal="center" vertical="center" wrapText="1"/>
    </xf>
    <xf numFmtId="4" fontId="54" fillId="0" borderId="1" xfId="0" applyNumberFormat="1" applyFont="1" applyBorder="1"/>
    <xf numFmtId="4" fontId="54" fillId="39" borderId="1" xfId="0" applyNumberFormat="1" applyFont="1" applyFill="1" applyBorder="1"/>
    <xf numFmtId="0" fontId="8" fillId="0" borderId="0" xfId="0" applyFont="1"/>
    <xf numFmtId="0" fontId="3" fillId="0" borderId="1" xfId="0" applyFont="1" applyBorder="1" applyAlignment="1">
      <alignment vertical="center" wrapText="1"/>
    </xf>
    <xf numFmtId="0" fontId="0" fillId="0" borderId="2" xfId="0" applyBorder="1" applyAlignment="1">
      <alignment vertical="center" wrapText="1"/>
    </xf>
    <xf numFmtId="0" fontId="13" fillId="0" borderId="1" xfId="0" applyFont="1" applyBorder="1" applyAlignment="1">
      <alignment vertical="center" wrapText="1"/>
    </xf>
    <xf numFmtId="0" fontId="39" fillId="0" borderId="1" xfId="0" applyFont="1" applyBorder="1" applyAlignment="1">
      <alignment vertical="center" wrapText="1"/>
    </xf>
    <xf numFmtId="0" fontId="39" fillId="0" borderId="1" xfId="0" applyFont="1" applyBorder="1" applyAlignment="1">
      <alignment horizontal="center" vertical="center" wrapText="1"/>
    </xf>
    <xf numFmtId="0" fontId="0" fillId="0" borderId="1" xfId="19" applyNumberFormat="1" applyFont="1" applyFill="1" applyBorder="1" applyAlignment="1">
      <alignment horizontal="center" vertical="center"/>
    </xf>
    <xf numFmtId="9" fontId="0" fillId="0" borderId="1" xfId="0" applyNumberFormat="1" applyBorder="1" applyAlignment="1">
      <alignment horizontal="left" vertical="center" wrapText="1"/>
    </xf>
    <xf numFmtId="0" fontId="0" fillId="0" borderId="4" xfId="19" applyNumberFormat="1" applyFont="1" applyFill="1" applyBorder="1" applyAlignment="1">
      <alignment horizontal="left" vertical="center" wrapText="1"/>
    </xf>
    <xf numFmtId="0" fontId="0" fillId="0" borderId="1" xfId="19" applyNumberFormat="1" applyFont="1" applyFill="1" applyBorder="1" applyAlignment="1">
      <alignment vertical="center" wrapText="1"/>
    </xf>
    <xf numFmtId="0" fontId="0" fillId="0" borderId="1" xfId="19" applyNumberFormat="1" applyFont="1" applyFill="1" applyBorder="1" applyAlignment="1">
      <alignment vertical="center"/>
    </xf>
    <xf numFmtId="39" fontId="0" fillId="0" borderId="1" xfId="19" applyNumberFormat="1" applyFont="1" applyFill="1" applyBorder="1" applyAlignment="1">
      <alignment vertical="center"/>
    </xf>
    <xf numFmtId="49" fontId="0" fillId="23" borderId="1" xfId="0" applyNumberFormat="1" applyFill="1" applyBorder="1" applyAlignment="1">
      <alignment vertical="center" wrapText="1"/>
    </xf>
    <xf numFmtId="0" fontId="3" fillId="0" borderId="3" xfId="0" applyFont="1" applyBorder="1" applyAlignment="1">
      <alignment horizontal="center" vertical="center"/>
    </xf>
    <xf numFmtId="0" fontId="0" fillId="0" borderId="1" xfId="0" applyBorder="1" applyAlignment="1">
      <alignment vertical="center"/>
    </xf>
    <xf numFmtId="39" fontId="75" fillId="0" borderId="1" xfId="0" applyNumberFormat="1" applyFont="1" applyBorder="1" applyAlignment="1">
      <alignment vertical="center" wrapText="1"/>
    </xf>
    <xf numFmtId="4" fontId="12" fillId="0" borderId="1" xfId="30" applyNumberFormat="1" applyFont="1" applyBorder="1" applyAlignment="1">
      <alignment horizontal="left" vertical="center" wrapText="1"/>
    </xf>
    <xf numFmtId="39" fontId="0" fillId="47" borderId="1" xfId="0" applyNumberFormat="1" applyFill="1" applyBorder="1" applyAlignment="1">
      <alignment vertical="center" wrapText="1"/>
    </xf>
    <xf numFmtId="4" fontId="12" fillId="0" borderId="1" xfId="30" applyNumberFormat="1" applyFont="1" applyBorder="1" applyAlignment="1">
      <alignment horizontal="center" vertical="center" wrapText="1"/>
    </xf>
    <xf numFmtId="0" fontId="12" fillId="0" borderId="3" xfId="30" applyFont="1" applyBorder="1" applyAlignment="1">
      <alignment horizontal="center" vertical="center" wrapText="1"/>
    </xf>
    <xf numFmtId="0" fontId="12" fillId="0" borderId="1" xfId="30" applyFont="1" applyBorder="1" applyAlignment="1">
      <alignment horizontal="center" vertical="center"/>
    </xf>
    <xf numFmtId="0" fontId="0" fillId="34" borderId="1" xfId="0" applyFill="1" applyBorder="1" applyAlignment="1">
      <alignment vertical="center"/>
    </xf>
    <xf numFmtId="0" fontId="0" fillId="24" borderId="1" xfId="0" applyFill="1" applyBorder="1" applyAlignment="1">
      <alignment vertical="center"/>
    </xf>
    <xf numFmtId="0" fontId="0" fillId="42" borderId="1" xfId="0" applyFill="1" applyBorder="1" applyAlignment="1">
      <alignment vertical="center"/>
    </xf>
    <xf numFmtId="0" fontId="8" fillId="0" borderId="1" xfId="0" applyFont="1" applyBorder="1" applyAlignment="1">
      <alignment vertical="center"/>
    </xf>
    <xf numFmtId="4" fontId="12" fillId="0" borderId="1" xfId="0" applyNumberFormat="1" applyFont="1" applyBorder="1" applyAlignment="1">
      <alignment vertical="center"/>
    </xf>
    <xf numFmtId="4" fontId="17" fillId="0" borderId="1" xfId="0" applyNumberFormat="1" applyFont="1" applyBorder="1" applyAlignment="1">
      <alignment vertical="center" wrapText="1"/>
    </xf>
    <xf numFmtId="4" fontId="12" fillId="0" borderId="1" xfId="0" applyNumberFormat="1" applyFont="1" applyBorder="1" applyAlignment="1">
      <alignment vertical="center" wrapText="1"/>
    </xf>
    <xf numFmtId="4" fontId="17" fillId="24" borderId="1" xfId="0" applyNumberFormat="1" applyFont="1" applyFill="1" applyBorder="1" applyAlignment="1">
      <alignment vertical="center" wrapText="1"/>
    </xf>
    <xf numFmtId="4" fontId="12" fillId="24" borderId="1" xfId="0" applyNumberFormat="1" applyFont="1" applyFill="1" applyBorder="1" applyAlignment="1">
      <alignment vertical="center" wrapText="1"/>
    </xf>
    <xf numFmtId="4" fontId="12" fillId="24" borderId="1" xfId="0" applyNumberFormat="1" applyFont="1" applyFill="1" applyBorder="1" applyAlignment="1">
      <alignment vertical="center"/>
    </xf>
    <xf numFmtId="4" fontId="65" fillId="18" borderId="1" xfId="0" applyNumberFormat="1" applyFont="1" applyFill="1" applyBorder="1" applyAlignment="1">
      <alignment vertical="center"/>
    </xf>
    <xf numFmtId="4" fontId="12" fillId="48" borderId="1" xfId="0" applyNumberFormat="1" applyFont="1" applyFill="1" applyBorder="1" applyAlignment="1">
      <alignment vertical="center"/>
    </xf>
    <xf numFmtId="4" fontId="12" fillId="32" borderId="1" xfId="0" applyNumberFormat="1" applyFont="1" applyFill="1" applyBorder="1" applyAlignment="1">
      <alignment vertical="center"/>
    </xf>
    <xf numFmtId="4" fontId="65" fillId="0" borderId="0" xfId="0" applyNumberFormat="1" applyFont="1" applyAlignment="1">
      <alignment vertical="center"/>
    </xf>
    <xf numFmtId="4" fontId="65" fillId="0" borderId="0" xfId="0" applyNumberFormat="1" applyFont="1" applyAlignment="1">
      <alignment vertical="center" wrapText="1"/>
    </xf>
    <xf numFmtId="4" fontId="65" fillId="0" borderId="1" xfId="0" applyNumberFormat="1" applyFont="1" applyBorder="1"/>
    <xf numFmtId="4" fontId="65" fillId="0" borderId="1" xfId="0" applyNumberFormat="1" applyFont="1" applyFill="1" applyBorder="1"/>
    <xf numFmtId="0" fontId="0" fillId="0" borderId="1" xfId="19" applyNumberFormat="1" applyFont="1" applyFill="1" applyBorder="1" applyAlignment="1">
      <alignment horizontal="left" vertical="center" wrapText="1"/>
    </xf>
    <xf numFmtId="179" fontId="0" fillId="0" borderId="2" xfId="19" applyNumberFormat="1" applyFont="1" applyFill="1" applyBorder="1" applyAlignment="1">
      <alignment vertical="center"/>
    </xf>
    <xf numFmtId="179" fontId="0" fillId="0" borderId="1" xfId="19" applyNumberFormat="1" applyFont="1" applyFill="1" applyBorder="1" applyAlignment="1">
      <alignment vertical="center"/>
    </xf>
    <xf numFmtId="0" fontId="3" fillId="18" borderId="3" xfId="0" applyFont="1" applyFill="1" applyBorder="1" applyAlignment="1">
      <alignment horizontal="center" vertical="center"/>
    </xf>
    <xf numFmtId="179" fontId="0" fillId="47" borderId="1" xfId="0" applyNumberFormat="1" applyFill="1" applyBorder="1" applyAlignment="1">
      <alignment vertical="center" wrapText="1"/>
    </xf>
    <xf numFmtId="179" fontId="0" fillId="0" borderId="6" xfId="19" applyNumberFormat="1" applyFont="1" applyFill="1" applyBorder="1" applyAlignment="1">
      <alignment vertical="center"/>
    </xf>
    <xf numFmtId="4" fontId="12" fillId="47" borderId="0" xfId="0" applyNumberFormat="1" applyFont="1" applyFill="1" applyAlignment="1">
      <alignment vertical="center"/>
    </xf>
    <xf numFmtId="49" fontId="42" fillId="29" borderId="1" xfId="0" applyNumberFormat="1" applyFont="1" applyFill="1" applyBorder="1" applyAlignment="1">
      <alignment vertical="center" wrapText="1"/>
    </xf>
    <xf numFmtId="179" fontId="13" fillId="47" borderId="1" xfId="0" applyNumberFormat="1" applyFont="1" applyFill="1" applyBorder="1" applyAlignment="1">
      <alignment vertical="center" wrapText="1"/>
    </xf>
    <xf numFmtId="0" fontId="13" fillId="0" borderId="1" xfId="0" applyFont="1" applyBorder="1" applyAlignment="1">
      <alignment horizontal="left" vertical="center" wrapText="1"/>
    </xf>
    <xf numFmtId="4" fontId="34" fillId="0" borderId="1" xfId="30" applyNumberFormat="1" applyFont="1" applyBorder="1" applyAlignment="1">
      <alignment horizontal="center" vertical="center" wrapText="1"/>
    </xf>
    <xf numFmtId="4" fontId="13" fillId="24" borderId="1" xfId="0" applyNumberFormat="1" applyFont="1" applyFill="1" applyBorder="1" applyAlignment="1">
      <alignment vertical="center" wrapText="1"/>
    </xf>
    <xf numFmtId="4" fontId="0" fillId="0" borderId="1" xfId="0" applyNumberFormat="1" applyBorder="1" applyAlignment="1">
      <alignment vertical="center" wrapText="1"/>
    </xf>
    <xf numFmtId="39" fontId="0" fillId="0" borderId="2" xfId="19" applyNumberFormat="1" applyFont="1" applyFill="1" applyBorder="1" applyAlignment="1">
      <alignment vertical="center"/>
    </xf>
    <xf numFmtId="49" fontId="13" fillId="23" borderId="1" xfId="0" applyNumberFormat="1" applyFont="1" applyFill="1" applyBorder="1" applyAlignment="1">
      <alignment vertical="center" wrapText="1"/>
    </xf>
    <xf numFmtId="4" fontId="34" fillId="0" borderId="1" xfId="30" applyNumberFormat="1" applyFont="1" applyFill="1" applyBorder="1" applyAlignment="1">
      <alignment horizontal="left" vertical="center" wrapText="1"/>
    </xf>
    <xf numFmtId="0" fontId="76" fillId="0" borderId="1" xfId="0" applyFont="1" applyFill="1" applyBorder="1" applyAlignment="1">
      <alignment vertical="center" wrapText="1"/>
    </xf>
    <xf numFmtId="39" fontId="77" fillId="0" borderId="1" xfId="0" applyNumberFormat="1" applyFont="1" applyBorder="1" applyAlignment="1">
      <alignment horizontal="left" vertical="center" wrapText="1"/>
    </xf>
    <xf numFmtId="9" fontId="3" fillId="18" borderId="3" xfId="0" applyNumberFormat="1" applyFont="1" applyFill="1" applyBorder="1" applyAlignment="1">
      <alignment horizontal="center" vertical="center"/>
    </xf>
    <xf numFmtId="4" fontId="34" fillId="47" borderId="1" xfId="0" applyNumberFormat="1" applyFont="1" applyFill="1" applyBorder="1" applyAlignment="1">
      <alignment vertical="center" wrapText="1"/>
    </xf>
    <xf numFmtId="0" fontId="78" fillId="0" borderId="1" xfId="0" applyFont="1" applyBorder="1" applyAlignment="1">
      <alignment vertical="center" wrapText="1"/>
    </xf>
    <xf numFmtId="4" fontId="34" fillId="24" borderId="1" xfId="0" applyNumberFormat="1" applyFont="1" applyFill="1" applyBorder="1" applyAlignment="1">
      <alignment vertical="center" wrapText="1"/>
    </xf>
    <xf numFmtId="4" fontId="12" fillId="18" borderId="1" xfId="0" applyNumberFormat="1" applyFont="1" applyFill="1" applyBorder="1" applyAlignment="1">
      <alignment vertical="center"/>
    </xf>
    <xf numFmtId="179" fontId="0" fillId="0" borderId="7" xfId="19" applyNumberFormat="1" applyFont="1" applyFill="1" applyBorder="1" applyAlignment="1">
      <alignment vertical="center"/>
    </xf>
    <xf numFmtId="49" fontId="13" fillId="23" borderId="1" xfId="0" applyNumberFormat="1" applyFont="1" applyFill="1" applyBorder="1" applyAlignment="1">
      <alignment horizontal="left" vertical="center" wrapText="1"/>
    </xf>
    <xf numFmtId="4" fontId="65" fillId="0" borderId="0" xfId="0" applyNumberFormat="1" applyFont="1" applyFill="1"/>
    <xf numFmtId="0" fontId="3" fillId="0" borderId="7" xfId="0" applyFont="1" applyBorder="1" applyAlignment="1">
      <alignment vertical="center" wrapText="1"/>
    </xf>
    <xf numFmtId="0" fontId="0" fillId="0" borderId="7" xfId="0" applyBorder="1" applyAlignment="1">
      <alignment vertical="center" wrapText="1"/>
    </xf>
    <xf numFmtId="0" fontId="3" fillId="0" borderId="14" xfId="0" applyFont="1" applyBorder="1" applyAlignment="1">
      <alignment vertical="center" wrapText="1"/>
    </xf>
    <xf numFmtId="0" fontId="3" fillId="0" borderId="2" xfId="0" applyFont="1" applyBorder="1" applyAlignment="1">
      <alignment vertical="center" wrapText="1"/>
    </xf>
    <xf numFmtId="0" fontId="0" fillId="0" borderId="1" xfId="0" applyNumberFormat="1" applyBorder="1" applyAlignment="1">
      <alignment vertical="center"/>
    </xf>
    <xf numFmtId="2" fontId="0" fillId="0" borderId="1" xfId="0" applyNumberFormat="1" applyBorder="1" applyAlignment="1">
      <alignment vertical="center"/>
    </xf>
    <xf numFmtId="10" fontId="0" fillId="0" borderId="1" xfId="0" applyNumberFormat="1" applyBorder="1" applyAlignment="1">
      <alignment vertical="center"/>
    </xf>
    <xf numFmtId="171" fontId="0" fillId="0" borderId="1" xfId="0" applyNumberFormat="1" applyBorder="1" applyAlignment="1">
      <alignment vertical="center"/>
    </xf>
    <xf numFmtId="0" fontId="0" fillId="0" borderId="1" xfId="19" applyNumberFormat="1" applyFont="1" applyFill="1" applyBorder="1" applyAlignment="1">
      <alignment horizontal="left" vertical="center"/>
    </xf>
    <xf numFmtId="179" fontId="0" fillId="0" borderId="1" xfId="19" applyNumberFormat="1" applyFont="1" applyFill="1" applyBorder="1" applyAlignment="1">
      <alignment horizontal="left" vertical="center"/>
    </xf>
    <xf numFmtId="0" fontId="13" fillId="0" borderId="2" xfId="0" applyFont="1" applyBorder="1" applyAlignment="1">
      <alignment vertical="center" wrapText="1"/>
    </xf>
    <xf numFmtId="4" fontId="13" fillId="47" borderId="1" xfId="0" applyNumberFormat="1" applyFont="1" applyFill="1" applyBorder="1" applyAlignment="1">
      <alignment vertical="center" wrapText="1"/>
    </xf>
    <xf numFmtId="4" fontId="12" fillId="47" borderId="1" xfId="0" applyNumberFormat="1" applyFont="1" applyFill="1" applyBorder="1" applyAlignment="1">
      <alignment vertical="center"/>
    </xf>
    <xf numFmtId="0" fontId="8" fillId="0" borderId="0" xfId="0" applyFont="1" applyAlignment="1">
      <alignment horizontal="justify"/>
    </xf>
    <xf numFmtId="0" fontId="39" fillId="0" borderId="2" xfId="0" applyFont="1" applyBorder="1" applyAlignment="1">
      <alignment vertical="center" wrapText="1"/>
    </xf>
    <xf numFmtId="0" fontId="39" fillId="0" borderId="2" xfId="0" applyFont="1" applyBorder="1" applyAlignment="1">
      <alignment horizontal="center" vertical="center" wrapText="1"/>
    </xf>
    <xf numFmtId="0" fontId="17" fillId="0" borderId="1" xfId="0" applyFont="1" applyBorder="1" applyAlignment="1">
      <alignment wrapText="1"/>
    </xf>
    <xf numFmtId="4" fontId="0" fillId="47" borderId="1" xfId="0" applyNumberFormat="1" applyFill="1" applyBorder="1" applyAlignment="1">
      <alignment vertical="center" wrapText="1"/>
    </xf>
    <xf numFmtId="0" fontId="8" fillId="0" borderId="1" xfId="0" applyFont="1" applyBorder="1"/>
    <xf numFmtId="4" fontId="0" fillId="24" borderId="1" xfId="0" applyNumberFormat="1" applyFill="1" applyBorder="1" applyAlignment="1">
      <alignment vertical="center" wrapText="1"/>
    </xf>
    <xf numFmtId="0" fontId="8" fillId="0" borderId="3" xfId="0" applyFont="1" applyBorder="1"/>
    <xf numFmtId="0" fontId="65" fillId="0" borderId="1" xfId="0" applyFont="1" applyBorder="1" applyAlignment="1">
      <alignment horizontal="left" vertical="center" wrapText="1"/>
    </xf>
    <xf numFmtId="4" fontId="0" fillId="0" borderId="3" xfId="0" applyNumberFormat="1" applyBorder="1" applyAlignment="1">
      <alignment wrapText="1"/>
    </xf>
    <xf numFmtId="9" fontId="0" fillId="0" borderId="1" xfId="0" applyNumberFormat="1" applyBorder="1" applyAlignment="1">
      <alignment vertical="center"/>
    </xf>
    <xf numFmtId="4" fontId="34" fillId="47" borderId="1" xfId="0" applyNumberFormat="1" applyFont="1" applyFill="1" applyBorder="1" applyAlignment="1">
      <alignment vertical="center"/>
    </xf>
    <xf numFmtId="4" fontId="34" fillId="24" borderId="1" xfId="0" applyNumberFormat="1" applyFont="1" applyFill="1" applyBorder="1" applyAlignment="1">
      <alignment vertical="center"/>
    </xf>
    <xf numFmtId="4" fontId="12" fillId="26" borderId="1" xfId="0" applyNumberFormat="1" applyFont="1" applyFill="1" applyBorder="1" applyAlignment="1">
      <alignment vertical="center" wrapText="1"/>
    </xf>
    <xf numFmtId="4" fontId="12" fillId="26" borderId="1" xfId="0" applyNumberFormat="1" applyFont="1" applyFill="1" applyBorder="1" applyAlignment="1">
      <alignment vertical="center"/>
    </xf>
    <xf numFmtId="0" fontId="13" fillId="0" borderId="2" xfId="0" applyFont="1" applyBorder="1" applyAlignment="1">
      <alignment horizontal="left" vertical="center" wrapText="1"/>
    </xf>
    <xf numFmtId="0" fontId="17" fillId="0" borderId="1" xfId="0" applyFont="1" applyBorder="1" applyAlignment="1">
      <alignment vertical="center" wrapText="1"/>
    </xf>
    <xf numFmtId="0" fontId="0" fillId="0" borderId="1" xfId="0" applyFill="1" applyBorder="1" applyAlignment="1">
      <alignment horizontal="center" vertical="center"/>
    </xf>
    <xf numFmtId="0" fontId="8" fillId="0" borderId="1" xfId="0" applyFont="1" applyBorder="1" applyAlignment="1">
      <alignment vertical="center" wrapText="1"/>
    </xf>
    <xf numFmtId="0" fontId="65" fillId="0" borderId="0" xfId="0" applyFont="1" applyAlignment="1">
      <alignment vertical="center"/>
    </xf>
    <xf numFmtId="0" fontId="8" fillId="0" borderId="0" xfId="0" applyFont="1" applyAlignment="1">
      <alignment vertical="center"/>
    </xf>
    <xf numFmtId="0" fontId="13" fillId="32" borderId="1" xfId="0" applyFont="1" applyFill="1" applyBorder="1" applyAlignment="1">
      <alignment horizontal="left" vertical="center" wrapText="1"/>
    </xf>
    <xf numFmtId="0" fontId="0" fillId="32" borderId="1" xfId="0" applyFill="1" applyBorder="1" applyAlignment="1">
      <alignment horizontal="left" vertical="center" wrapText="1"/>
    </xf>
    <xf numFmtId="4" fontId="12" fillId="18" borderId="1" xfId="0" applyNumberFormat="1" applyFont="1" applyFill="1" applyBorder="1" applyAlignment="1">
      <alignment vertical="center" wrapText="1"/>
    </xf>
    <xf numFmtId="179" fontId="13" fillId="49" borderId="1" xfId="0" applyNumberFormat="1" applyFont="1" applyFill="1" applyBorder="1" applyAlignment="1">
      <alignment vertical="center" wrapText="1"/>
    </xf>
    <xf numFmtId="4" fontId="12" fillId="49" borderId="1" xfId="0" applyNumberFormat="1" applyFont="1" applyFill="1" applyBorder="1" applyAlignment="1">
      <alignment vertical="center"/>
    </xf>
    <xf numFmtId="0" fontId="0" fillId="0" borderId="1" xfId="19" applyNumberFormat="1" applyFont="1" applyFill="1" applyBorder="1" applyAlignment="1">
      <alignment horizontal="center" vertical="center" wrapText="1"/>
    </xf>
    <xf numFmtId="39" fontId="0" fillId="0" borderId="1" xfId="19" applyNumberFormat="1" applyFont="1" applyFill="1" applyBorder="1" applyAlignment="1">
      <alignment horizontal="left" vertical="center"/>
    </xf>
    <xf numFmtId="9" fontId="3" fillId="0" borderId="3" xfId="0" applyNumberFormat="1" applyFont="1" applyBorder="1" applyAlignment="1">
      <alignment horizontal="center" vertical="center"/>
    </xf>
    <xf numFmtId="1" fontId="0" fillId="29" borderId="1" xfId="0" applyNumberFormat="1" applyFill="1" applyBorder="1" applyAlignment="1">
      <alignment horizontal="center" vertical="center" wrapText="1"/>
    </xf>
    <xf numFmtId="49" fontId="0" fillId="23" borderId="1" xfId="0" applyNumberFormat="1" applyFill="1" applyBorder="1" applyAlignment="1">
      <alignment horizontal="center" vertical="center" wrapText="1"/>
    </xf>
    <xf numFmtId="4" fontId="12" fillId="0" borderId="1" xfId="30" applyNumberFormat="1" applyFont="1" applyFill="1" applyBorder="1" applyAlignment="1">
      <alignment horizontal="left" vertical="center" wrapText="1"/>
    </xf>
    <xf numFmtId="4" fontId="65" fillId="0" borderId="1" xfId="0" applyNumberFormat="1" applyFont="1" applyBorder="1" applyAlignment="1">
      <alignment vertical="center"/>
    </xf>
    <xf numFmtId="4" fontId="65" fillId="0" borderId="1" xfId="0" applyNumberFormat="1" applyFont="1" applyBorder="1" applyAlignment="1">
      <alignment horizontal="right" vertical="center"/>
    </xf>
    <xf numFmtId="4" fontId="13" fillId="18" borderId="1" xfId="0" applyNumberFormat="1" applyFont="1" applyFill="1" applyBorder="1" applyAlignment="1">
      <alignment vertical="center" wrapText="1"/>
    </xf>
    <xf numFmtId="0" fontId="13" fillId="0" borderId="1" xfId="0" applyFont="1" applyBorder="1" applyAlignment="1">
      <alignment vertical="center"/>
    </xf>
    <xf numFmtId="49" fontId="0" fillId="23" borderId="2" xfId="0" applyNumberFormat="1" applyFill="1" applyBorder="1" applyAlignment="1">
      <alignment horizontal="center" vertical="center" wrapText="1"/>
    </xf>
    <xf numFmtId="4" fontId="12" fillId="47" borderId="1" xfId="1" applyNumberFormat="1" applyFont="1" applyFill="1" applyBorder="1" applyAlignment="1">
      <alignment vertical="center"/>
    </xf>
    <xf numFmtId="49" fontId="13" fillId="34" borderId="0" xfId="0" applyNumberFormat="1" applyFont="1" applyFill="1" applyAlignment="1">
      <alignment vertical="center" wrapText="1"/>
    </xf>
    <xf numFmtId="179" fontId="53" fillId="0" borderId="1" xfId="0" applyNumberFormat="1" applyFont="1" applyBorder="1" applyAlignment="1">
      <alignment horizontal="left" vertical="center" wrapText="1"/>
    </xf>
    <xf numFmtId="179" fontId="53" fillId="0" borderId="2" xfId="0" applyNumberFormat="1" applyFont="1" applyBorder="1" applyAlignment="1">
      <alignment horizontal="left" vertical="center" wrapText="1"/>
    </xf>
    <xf numFmtId="0" fontId="0" fillId="0" borderId="1" xfId="30" applyFont="1" applyBorder="1" applyAlignment="1">
      <alignment horizontal="center" vertical="center"/>
    </xf>
    <xf numFmtId="4" fontId="0" fillId="0" borderId="1" xfId="19" applyNumberFormat="1" applyFont="1" applyFill="1" applyBorder="1" applyAlignment="1">
      <alignment horizontal="left" vertical="center"/>
    </xf>
    <xf numFmtId="0" fontId="0" fillId="18" borderId="48" xfId="0" applyNumberFormat="1" applyFont="1" applyFill="1" applyBorder="1" applyAlignment="1" applyProtection="1">
      <alignment vertical="top" wrapText="1"/>
    </xf>
    <xf numFmtId="49" fontId="0" fillId="23" borderId="1" xfId="0" applyNumberFormat="1" applyFill="1" applyBorder="1" applyAlignment="1">
      <alignment horizontal="left" vertical="center" wrapText="1"/>
    </xf>
    <xf numFmtId="0" fontId="14" fillId="0" borderId="2" xfId="0" applyFont="1" applyBorder="1" applyAlignment="1">
      <alignment vertical="center" wrapText="1"/>
    </xf>
    <xf numFmtId="0" fontId="39" fillId="0" borderId="1" xfId="0" applyFont="1" applyBorder="1" applyAlignment="1">
      <alignment horizontal="left" vertical="center" wrapText="1"/>
    </xf>
    <xf numFmtId="0" fontId="75" fillId="0" borderId="1" xfId="0" applyFont="1" applyBorder="1" applyAlignment="1">
      <alignment vertical="center" wrapText="1"/>
    </xf>
    <xf numFmtId="0" fontId="12" fillId="0" borderId="1" xfId="30" applyFont="1" applyBorder="1" applyAlignment="1">
      <alignment horizontal="center" vertical="center" wrapText="1"/>
    </xf>
    <xf numFmtId="0" fontId="0" fillId="0" borderId="1" xfId="4" applyNumberFormat="1" applyFont="1" applyBorder="1" applyAlignment="1">
      <alignment vertical="center"/>
    </xf>
    <xf numFmtId="0" fontId="14" fillId="18" borderId="3" xfId="0" applyFont="1" applyFill="1" applyBorder="1" applyAlignment="1">
      <alignment horizontal="center" vertical="center"/>
    </xf>
    <xf numFmtId="0" fontId="0" fillId="0" borderId="2" xfId="19" applyNumberFormat="1" applyFont="1" applyFill="1" applyBorder="1" applyAlignment="1">
      <alignment horizontal="left" vertical="center"/>
    </xf>
    <xf numFmtId="49" fontId="0" fillId="23" borderId="2" xfId="0" applyNumberFormat="1" applyFill="1" applyBorder="1" applyAlignment="1">
      <alignment vertical="center" wrapText="1"/>
    </xf>
    <xf numFmtId="49" fontId="13" fillId="23" borderId="2" xfId="0" applyNumberFormat="1" applyFont="1" applyFill="1" applyBorder="1" applyAlignment="1">
      <alignment vertical="center" wrapText="1"/>
    </xf>
    <xf numFmtId="1" fontId="0" fillId="0" borderId="2" xfId="0" applyNumberFormat="1" applyBorder="1" applyAlignment="1">
      <alignment horizontal="center" vertical="center" wrapText="1"/>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xf>
    <xf numFmtId="179" fontId="0" fillId="47" borderId="0" xfId="0" applyNumberFormat="1" applyFill="1" applyAlignment="1">
      <alignment vertical="center" wrapText="1"/>
    </xf>
    <xf numFmtId="179" fontId="0" fillId="0" borderId="2" xfId="0" applyNumberFormat="1" applyBorder="1" applyAlignment="1">
      <alignment vertical="center" wrapText="1"/>
    </xf>
    <xf numFmtId="0" fontId="12" fillId="0" borderId="2" xfId="30" applyFont="1" applyBorder="1" applyAlignment="1">
      <alignment horizontal="center" vertical="center" wrapText="1"/>
    </xf>
    <xf numFmtId="0" fontId="12" fillId="0" borderId="2" xfId="30" applyFont="1" applyBorder="1" applyAlignment="1">
      <alignment horizontal="center" vertical="center"/>
    </xf>
    <xf numFmtId="0" fontId="8" fillId="0" borderId="2" xfId="0" applyFont="1" applyBorder="1" applyAlignment="1">
      <alignment vertical="center"/>
    </xf>
    <xf numFmtId="4" fontId="12" fillId="0" borderId="2" xfId="0" applyNumberFormat="1" applyFont="1" applyBorder="1" applyAlignment="1">
      <alignment vertical="center"/>
    </xf>
    <xf numFmtId="0" fontId="8" fillId="0" borderId="0" xfId="0" applyFont="1" applyAlignment="1">
      <alignment horizontal="justify" vertical="center"/>
    </xf>
    <xf numFmtId="0" fontId="12" fillId="0" borderId="1" xfId="0" applyFont="1" applyFill="1" applyBorder="1" applyAlignment="1">
      <alignment vertical="center" wrapText="1"/>
    </xf>
    <xf numFmtId="0" fontId="8" fillId="0" borderId="3" xfId="0" applyFont="1" applyBorder="1" applyAlignment="1">
      <alignment vertical="center"/>
    </xf>
    <xf numFmtId="0" fontId="3" fillId="0" borderId="0" xfId="0" applyFont="1" applyAlignment="1">
      <alignment vertical="center" wrapText="1"/>
    </xf>
    <xf numFmtId="0" fontId="3" fillId="0" borderId="0" xfId="0" applyFont="1" applyAlignment="1">
      <alignment vertical="center"/>
    </xf>
    <xf numFmtId="0" fontId="14" fillId="0" borderId="0" xfId="0" applyFont="1" applyAlignment="1">
      <alignment vertical="center" wrapText="1"/>
    </xf>
    <xf numFmtId="0" fontId="3" fillId="0" borderId="0" xfId="0" applyFont="1" applyAlignment="1">
      <alignment horizontal="center" vertical="center" wrapText="1"/>
    </xf>
    <xf numFmtId="0" fontId="14" fillId="0" borderId="1" xfId="0" applyFont="1" applyBorder="1" applyAlignment="1">
      <alignment vertical="center" wrapText="1"/>
    </xf>
    <xf numFmtId="0" fontId="79" fillId="0" borderId="1" xfId="0" applyFont="1" applyBorder="1" applyAlignment="1">
      <alignment vertical="center" wrapText="1"/>
    </xf>
    <xf numFmtId="0" fontId="7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19" applyNumberFormat="1" applyFont="1" applyFill="1" applyBorder="1" applyAlignment="1">
      <alignment horizontal="left" vertical="center"/>
    </xf>
    <xf numFmtId="39" fontId="3" fillId="0" borderId="2" xfId="19" applyNumberFormat="1" applyFont="1" applyFill="1" applyBorder="1" applyAlignment="1">
      <alignment vertical="center"/>
    </xf>
    <xf numFmtId="49" fontId="3" fillId="0" borderId="2" xfId="0" applyNumberFormat="1" applyFont="1" applyBorder="1" applyAlignment="1">
      <alignment vertical="center" wrapText="1"/>
    </xf>
    <xf numFmtId="1" fontId="3" fillId="0" borderId="2" xfId="0" applyNumberFormat="1" applyFont="1" applyBorder="1" applyAlignment="1">
      <alignment horizontal="center" vertical="center" wrapText="1"/>
    </xf>
    <xf numFmtId="0" fontId="80" fillId="0" borderId="2" xfId="0" applyFont="1" applyBorder="1" applyAlignment="1">
      <alignment horizontal="left" vertical="center" wrapText="1"/>
    </xf>
    <xf numFmtId="179" fontId="3" fillId="0" borderId="2" xfId="0" applyNumberFormat="1" applyFont="1" applyBorder="1" applyAlignment="1">
      <alignment horizontal="center" vertical="center" wrapText="1"/>
    </xf>
    <xf numFmtId="179" fontId="3" fillId="0" borderId="2" xfId="0" applyNumberFormat="1" applyFont="1" applyBorder="1" applyAlignment="1">
      <alignment horizontal="left" vertical="center" wrapText="1"/>
    </xf>
    <xf numFmtId="179" fontId="3" fillId="0" borderId="2" xfId="0" applyNumberFormat="1" applyFont="1" applyBorder="1" applyAlignment="1">
      <alignment vertical="center" wrapText="1"/>
    </xf>
    <xf numFmtId="4" fontId="3" fillId="0" borderId="2" xfId="0" applyNumberFormat="1" applyFont="1" applyBorder="1"/>
    <xf numFmtId="4" fontId="3" fillId="0" borderId="2" xfId="30" applyNumberFormat="1" applyFont="1" applyBorder="1" applyAlignment="1">
      <alignment horizontal="center" vertical="center" wrapText="1"/>
    </xf>
    <xf numFmtId="0" fontId="3" fillId="0" borderId="2" xfId="30" applyFont="1" applyBorder="1" applyAlignment="1">
      <alignment horizontal="center" vertical="center" wrapText="1"/>
    </xf>
    <xf numFmtId="0" fontId="3" fillId="0" borderId="2" xfId="30" applyFont="1" applyBorder="1" applyAlignment="1">
      <alignment horizontal="center" vertical="center"/>
    </xf>
    <xf numFmtId="0" fontId="3" fillId="0" borderId="2" xfId="0" applyFont="1" applyBorder="1"/>
    <xf numFmtId="0" fontId="3" fillId="0" borderId="15" xfId="0" applyFont="1" applyBorder="1"/>
    <xf numFmtId="4" fontId="54" fillId="0" borderId="0" xfId="0" applyNumberFormat="1" applyFont="1"/>
    <xf numFmtId="4" fontId="54" fillId="0" borderId="2" xfId="0" applyNumberFormat="1" applyFont="1" applyFill="1" applyBorder="1"/>
    <xf numFmtId="0" fontId="8" fillId="0" borderId="0" xfId="0" applyFont="1" applyAlignment="1">
      <alignment horizontal="center"/>
    </xf>
    <xf numFmtId="0" fontId="8" fillId="0" borderId="0" xfId="0" applyFont="1" applyAlignment="1">
      <alignment horizontal="center" vertical="center"/>
    </xf>
    <xf numFmtId="0" fontId="8" fillId="0" borderId="1" xfId="0" applyFont="1" applyBorder="1" applyAlignment="1">
      <alignment horizontal="justify" vertical="center"/>
    </xf>
    <xf numFmtId="49" fontId="8" fillId="0" borderId="1" xfId="0" applyNumberFormat="1" applyFont="1" applyBorder="1" applyAlignment="1">
      <alignment vertical="center"/>
    </xf>
    <xf numFmtId="1" fontId="1" fillId="0" borderId="1" xfId="0" applyNumberFormat="1" applyFont="1" applyBorder="1" applyAlignment="1">
      <alignment horizontal="center" vertical="center"/>
    </xf>
    <xf numFmtId="179" fontId="1" fillId="0" borderId="1" xfId="0" applyNumberFormat="1" applyFont="1" applyBorder="1" applyAlignment="1">
      <alignment horizontal="center" vertical="center"/>
    </xf>
    <xf numFmtId="179" fontId="81" fillId="0" borderId="1" xfId="0" applyNumberFormat="1" applyFont="1" applyBorder="1" applyAlignment="1">
      <alignment horizontal="left"/>
    </xf>
    <xf numFmtId="179" fontId="8" fillId="0" borderId="1" xfId="0" applyNumberFormat="1" applyFont="1" applyBorder="1" applyAlignment="1">
      <alignment vertical="center" wrapText="1"/>
    </xf>
    <xf numFmtId="179" fontId="8" fillId="0" borderId="1" xfId="0" applyNumberFormat="1" applyFont="1" applyBorder="1" applyAlignment="1">
      <alignment horizontal="left" vertical="center" wrapText="1"/>
    </xf>
    <xf numFmtId="4" fontId="3" fillId="0" borderId="1" xfId="0" applyNumberFormat="1" applyFont="1" applyBorder="1"/>
    <xf numFmtId="179" fontId="65" fillId="0" borderId="1" xfId="0" applyNumberFormat="1" applyFont="1" applyBorder="1" applyAlignment="1">
      <alignment vertical="center" wrapText="1"/>
    </xf>
    <xf numFmtId="179" fontId="8" fillId="0" borderId="1" xfId="0" applyNumberFormat="1" applyFont="1" applyBorder="1"/>
    <xf numFmtId="179" fontId="8" fillId="0" borderId="1" xfId="0" applyNumberFormat="1" applyFont="1" applyBorder="1" applyAlignment="1">
      <alignment horizontal="center"/>
    </xf>
    <xf numFmtId="4" fontId="33" fillId="0" borderId="1" xfId="0" applyNumberFormat="1" applyFont="1" applyBorder="1" applyAlignment="1">
      <alignment wrapText="1"/>
    </xf>
    <xf numFmtId="4" fontId="82" fillId="0" borderId="1" xfId="0" applyNumberFormat="1" applyFont="1" applyBorder="1"/>
    <xf numFmtId="4" fontId="0" fillId="0" borderId="1" xfId="0" applyNumberFormat="1" applyFont="1" applyBorder="1"/>
    <xf numFmtId="0" fontId="0" fillId="0" borderId="1" xfId="0" applyFont="1" applyBorder="1"/>
    <xf numFmtId="4" fontId="3" fillId="0" borderId="1" xfId="0" applyNumberFormat="1" applyFont="1" applyBorder="1" applyAlignment="1">
      <alignment wrapText="1"/>
    </xf>
    <xf numFmtId="4" fontId="83" fillId="0" borderId="1" xfId="0" applyNumberFormat="1" applyFont="1" applyBorder="1"/>
    <xf numFmtId="4" fontId="12" fillId="0" borderId="1" xfId="0" applyNumberFormat="1" applyFont="1" applyBorder="1"/>
    <xf numFmtId="49" fontId="8" fillId="0" borderId="0" xfId="0" applyNumberFormat="1" applyFont="1" applyAlignment="1">
      <alignment vertical="center"/>
    </xf>
    <xf numFmtId="1" fontId="1" fillId="0" borderId="0" xfId="0" applyNumberFormat="1" applyFont="1" applyAlignment="1">
      <alignment horizontal="center" vertical="center"/>
    </xf>
    <xf numFmtId="179" fontId="1" fillId="0" borderId="0" xfId="0" applyNumberFormat="1" applyFont="1" applyAlignment="1">
      <alignment horizontal="center" vertical="center"/>
    </xf>
    <xf numFmtId="179" fontId="81" fillId="0" borderId="0" xfId="0" applyNumberFormat="1" applyFont="1" applyAlignment="1">
      <alignment horizontal="left"/>
    </xf>
    <xf numFmtId="179" fontId="8" fillId="0" borderId="0" xfId="0" applyNumberFormat="1" applyFont="1" applyAlignment="1">
      <alignment vertical="center" wrapText="1"/>
    </xf>
    <xf numFmtId="179" fontId="8" fillId="0" borderId="0" xfId="0" applyNumberFormat="1" applyFont="1" applyAlignment="1">
      <alignment horizontal="left" vertical="center" wrapText="1"/>
    </xf>
    <xf numFmtId="179" fontId="8" fillId="0" borderId="0" xfId="0" applyNumberFormat="1" applyFont="1" applyBorder="1" applyAlignment="1">
      <alignment vertical="center" wrapText="1"/>
    </xf>
    <xf numFmtId="179" fontId="0" fillId="0" borderId="0" xfId="0" applyNumberFormat="1" applyFont="1" applyBorder="1" applyAlignment="1">
      <alignment horizontal="right" vertical="center"/>
    </xf>
    <xf numFmtId="179" fontId="65" fillId="0" borderId="0" xfId="0" applyNumberFormat="1" applyFont="1" applyBorder="1" applyAlignment="1">
      <alignment vertical="center" wrapText="1"/>
    </xf>
    <xf numFmtId="179" fontId="8" fillId="0" borderId="0" xfId="0" applyNumberFormat="1" applyFont="1" applyBorder="1"/>
    <xf numFmtId="179" fontId="8" fillId="0" borderId="0" xfId="0" applyNumberFormat="1" applyFont="1" applyBorder="1" applyAlignment="1">
      <alignment horizontal="center"/>
    </xf>
    <xf numFmtId="0" fontId="8" fillId="0" borderId="12" xfId="0" applyFont="1" applyBorder="1"/>
    <xf numFmtId="0" fontId="8" fillId="0" borderId="6" xfId="0" applyFont="1" applyBorder="1"/>
    <xf numFmtId="4" fontId="65" fillId="0" borderId="6" xfId="0" applyNumberFormat="1" applyFont="1" applyBorder="1"/>
    <xf numFmtId="4" fontId="12" fillId="0" borderId="6" xfId="0" applyNumberFormat="1" applyFont="1" applyBorder="1"/>
    <xf numFmtId="0" fontId="0" fillId="0" borderId="6" xfId="0" applyFont="1" applyBorder="1"/>
    <xf numFmtId="4" fontId="3" fillId="0" borderId="6" xfId="0" applyNumberFormat="1" applyFont="1" applyBorder="1"/>
    <xf numFmtId="4" fontId="82" fillId="0" borderId="0" xfId="0" applyNumberFormat="1" applyFont="1" applyBorder="1"/>
    <xf numFmtId="4" fontId="8" fillId="0" borderId="0" xfId="0" applyNumberFormat="1" applyFont="1"/>
    <xf numFmtId="179" fontId="17" fillId="0" borderId="0" xfId="0" applyNumberFormat="1" applyFont="1" applyBorder="1" applyAlignment="1">
      <alignment vertical="center" wrapText="1"/>
    </xf>
    <xf numFmtId="179" fontId="17" fillId="0" borderId="0" xfId="0" applyNumberFormat="1" applyFont="1" applyAlignment="1">
      <alignment vertical="center" wrapText="1"/>
    </xf>
    <xf numFmtId="179" fontId="8" fillId="0" borderId="0" xfId="0" applyNumberFormat="1" applyFont="1"/>
    <xf numFmtId="179" fontId="8" fillId="0" borderId="0" xfId="0" applyNumberFormat="1" applyFont="1" applyAlignment="1">
      <alignment horizontal="center"/>
    </xf>
    <xf numFmtId="49" fontId="85" fillId="50" borderId="0" xfId="0" applyNumberFormat="1" applyFont="1" applyFill="1" applyBorder="1" applyAlignment="1">
      <alignment horizontal="left" vertical="top" wrapText="1"/>
    </xf>
    <xf numFmtId="4" fontId="85" fillId="50" borderId="0" xfId="0" applyNumberFormat="1" applyFont="1" applyFill="1" applyBorder="1" applyAlignment="1">
      <alignment horizontal="right" vertical="top" wrapText="1"/>
    </xf>
    <xf numFmtId="49" fontId="85" fillId="51" borderId="0" xfId="0" applyNumberFormat="1" applyFont="1" applyFill="1" applyBorder="1" applyAlignment="1">
      <alignment horizontal="left" vertical="top" wrapText="1"/>
    </xf>
    <xf numFmtId="0" fontId="86" fillId="0" borderId="0" xfId="0" applyFont="1" applyFill="1" applyBorder="1" applyAlignment="1">
      <alignment horizontal="right" vertical="top" wrapText="1"/>
    </xf>
    <xf numFmtId="4" fontId="86" fillId="0" borderId="0" xfId="0" applyNumberFormat="1" applyFont="1" applyFill="1" applyBorder="1" applyAlignment="1">
      <alignment horizontal="right" vertical="top" wrapText="1"/>
    </xf>
    <xf numFmtId="0" fontId="84" fillId="0" borderId="0" xfId="0" applyFont="1" applyFill="1" applyBorder="1" applyAlignment="1">
      <alignment horizontal="right" vertical="top" wrapText="1"/>
    </xf>
    <xf numFmtId="0" fontId="84" fillId="0" borderId="0" xfId="0" applyFont="1" applyFill="1" applyBorder="1" applyAlignment="1">
      <alignment horizontal="left" vertical="top" wrapText="1"/>
    </xf>
    <xf numFmtId="49" fontId="85" fillId="0" borderId="0" xfId="0" applyNumberFormat="1" applyFont="1" applyFill="1" applyBorder="1" applyAlignment="1">
      <alignment horizontal="left" vertical="top" wrapText="1"/>
    </xf>
    <xf numFmtId="4" fontId="12" fillId="0" borderId="1" xfId="1" applyNumberFormat="1" applyFont="1" applyBorder="1" applyAlignment="1">
      <alignment horizontal="right" vertical="center"/>
    </xf>
    <xf numFmtId="4" fontId="12" fillId="0" borderId="1" xfId="0" applyNumberFormat="1" applyFont="1" applyBorder="1" applyAlignment="1">
      <alignment horizontal="right" vertical="center"/>
    </xf>
    <xf numFmtId="4" fontId="85" fillId="39" borderId="0" xfId="0" applyNumberFormat="1" applyFont="1" applyFill="1" applyBorder="1" applyAlignment="1">
      <alignment horizontal="right" vertical="top" wrapText="1"/>
    </xf>
    <xf numFmtId="4" fontId="85" fillId="26" borderId="0" xfId="0" applyNumberFormat="1" applyFont="1" applyFill="1" applyBorder="1" applyAlignment="1">
      <alignment horizontal="right" vertical="top" wrapText="1"/>
    </xf>
    <xf numFmtId="4" fontId="65" fillId="26" borderId="1" xfId="0" applyNumberFormat="1" applyFont="1" applyFill="1" applyBorder="1"/>
    <xf numFmtId="4" fontId="12" fillId="21" borderId="1" xfId="1" applyNumberFormat="1" applyFont="1" applyFill="1" applyBorder="1" applyAlignment="1">
      <alignment horizontal="right" vertical="center"/>
    </xf>
    <xf numFmtId="4" fontId="65" fillId="39" borderId="1" xfId="0" applyNumberFormat="1" applyFont="1" applyFill="1" applyBorder="1"/>
    <xf numFmtId="4" fontId="65" fillId="11" borderId="1" xfId="0" applyNumberFormat="1" applyFont="1" applyFill="1" applyBorder="1"/>
    <xf numFmtId="4" fontId="12" fillId="11" borderId="1" xfId="1" applyNumberFormat="1" applyFont="1" applyFill="1" applyBorder="1" applyAlignment="1">
      <alignment horizontal="right" vertical="center"/>
    </xf>
    <xf numFmtId="4" fontId="65" fillId="18" borderId="1" xfId="0" applyNumberFormat="1" applyFont="1" applyFill="1" applyBorder="1"/>
    <xf numFmtId="4" fontId="12" fillId="4" borderId="1" xfId="1" applyNumberFormat="1" applyFont="1" applyFill="1" applyBorder="1" applyAlignment="1">
      <alignment horizontal="right" vertical="center"/>
    </xf>
    <xf numFmtId="4" fontId="12" fillId="26" borderId="1" xfId="1" applyNumberFormat="1" applyFont="1" applyFill="1" applyBorder="1" applyAlignment="1">
      <alignment horizontal="right" vertical="center"/>
    </xf>
    <xf numFmtId="4" fontId="12" fillId="52" borderId="1" xfId="1" applyNumberFormat="1" applyFont="1" applyFill="1" applyBorder="1" applyAlignment="1">
      <alignment horizontal="right" vertical="center"/>
    </xf>
    <xf numFmtId="4" fontId="0" fillId="0" borderId="0" xfId="0" applyNumberFormat="1" applyAlignment="1">
      <alignment horizontal="right" vertical="top"/>
    </xf>
    <xf numFmtId="4" fontId="7" fillId="14" borderId="1" xfId="0" applyNumberFormat="1" applyFont="1" applyFill="1" applyBorder="1" applyAlignment="1">
      <alignment horizontal="right" vertical="center" wrapText="1"/>
    </xf>
    <xf numFmtId="4" fontId="12" fillId="0" borderId="1" xfId="1" applyNumberFormat="1" applyFont="1" applyFill="1" applyBorder="1" applyAlignment="1">
      <alignment horizontal="right" vertical="center"/>
    </xf>
    <xf numFmtId="4" fontId="12" fillId="39" borderId="1" xfId="1" applyNumberFormat="1" applyFont="1" applyFill="1" applyBorder="1" applyAlignment="1">
      <alignment horizontal="right" vertical="center"/>
    </xf>
    <xf numFmtId="4" fontId="12" fillId="34" borderId="1" xfId="1" applyNumberFormat="1" applyFont="1" applyFill="1" applyBorder="1" applyAlignment="1">
      <alignment horizontal="right" vertical="center"/>
    </xf>
    <xf numFmtId="4" fontId="12" fillId="32" borderId="1" xfId="0" applyNumberFormat="1" applyFont="1" applyFill="1" applyBorder="1" applyAlignment="1">
      <alignment horizontal="right" vertical="center"/>
    </xf>
    <xf numFmtId="4" fontId="12" fillId="39" borderId="1" xfId="0" applyNumberFormat="1" applyFont="1" applyFill="1" applyBorder="1" applyAlignment="1">
      <alignment horizontal="right" vertical="center"/>
    </xf>
    <xf numFmtId="4" fontId="65" fillId="26" borderId="1" xfId="0" applyNumberFormat="1" applyFont="1" applyFill="1" applyBorder="1" applyAlignment="1">
      <alignment horizontal="right"/>
    </xf>
    <xf numFmtId="4" fontId="12" fillId="18" borderId="1" xfId="1" applyNumberFormat="1" applyFont="1" applyFill="1" applyBorder="1" applyAlignment="1">
      <alignment horizontal="right" vertical="center"/>
    </xf>
    <xf numFmtId="0" fontId="12" fillId="0" borderId="1" xfId="0" applyFont="1" applyBorder="1" applyAlignment="1">
      <alignment horizontal="right"/>
    </xf>
    <xf numFmtId="4" fontId="87" fillId="0" borderId="1" xfId="19" applyNumberFormat="1" applyFont="1" applyFill="1" applyBorder="1" applyAlignment="1">
      <alignment horizontal="right" vertical="center" wrapText="1"/>
    </xf>
    <xf numFmtId="4" fontId="87" fillId="0" borderId="6" xfId="19" applyNumberFormat="1" applyFont="1" applyFill="1" applyBorder="1" applyAlignment="1">
      <alignment horizontal="right" vertical="center" wrapText="1"/>
    </xf>
    <xf numFmtId="4" fontId="44" fillId="0" borderId="6" xfId="19" applyNumberFormat="1" applyFont="1" applyFill="1" applyBorder="1" applyAlignment="1">
      <alignment horizontal="right" vertical="center" wrapText="1"/>
    </xf>
    <xf numFmtId="4" fontId="12" fillId="0" borderId="1" xfId="2" applyNumberFormat="1" applyFont="1" applyFill="1" applyBorder="1" applyAlignment="1">
      <alignment horizontal="right" vertical="center"/>
    </xf>
    <xf numFmtId="4" fontId="12" fillId="0" borderId="1" xfId="0" applyNumberFormat="1" applyFont="1" applyFill="1" applyBorder="1" applyAlignment="1">
      <alignment horizontal="right" vertical="center"/>
    </xf>
    <xf numFmtId="0" fontId="12" fillId="0" borderId="0" xfId="0" applyFont="1" applyAlignment="1">
      <alignment horizontal="right"/>
    </xf>
    <xf numFmtId="4" fontId="65" fillId="0" borderId="1" xfId="0" applyNumberFormat="1" applyFont="1" applyFill="1" applyBorder="1" applyAlignment="1">
      <alignment horizontal="right"/>
    </xf>
    <xf numFmtId="4" fontId="12" fillId="0" borderId="6" xfId="1" applyNumberFormat="1" applyFont="1" applyFill="1" applyBorder="1" applyAlignment="1">
      <alignment horizontal="right" vertical="center"/>
    </xf>
    <xf numFmtId="0" fontId="12" fillId="0" borderId="1" xfId="0" applyFont="1" applyFill="1" applyBorder="1" applyAlignment="1">
      <alignment horizontal="right"/>
    </xf>
    <xf numFmtId="4" fontId="88" fillId="26" borderId="0" xfId="0" applyNumberFormat="1" applyFont="1" applyFill="1" applyBorder="1" applyAlignment="1">
      <alignment horizontal="right" vertical="center" wrapText="1"/>
    </xf>
    <xf numFmtId="0" fontId="56" fillId="0" borderId="0" xfId="30" applyFont="1" applyFill="1" applyAlignment="1">
      <alignment wrapText="1"/>
    </xf>
    <xf numFmtId="0" fontId="55" fillId="5" borderId="0" xfId="30" applyFont="1" applyFill="1" applyBorder="1" applyAlignment="1">
      <alignment vertical="center" wrapText="1"/>
    </xf>
    <xf numFmtId="0" fontId="65" fillId="0" borderId="0" xfId="0" applyFont="1" applyFill="1"/>
    <xf numFmtId="0" fontId="54" fillId="0" borderId="0" xfId="0" applyFont="1"/>
    <xf numFmtId="0" fontId="54" fillId="37" borderId="0" xfId="0" applyFont="1" applyFill="1" applyAlignment="1">
      <alignment horizontal="center"/>
    </xf>
    <xf numFmtId="0" fontId="19" fillId="0" borderId="0" xfId="0" applyFont="1" applyAlignment="1">
      <alignment vertical="center"/>
    </xf>
    <xf numFmtId="0" fontId="12" fillId="0" borderId="0" xfId="0" applyFont="1" applyAlignment="1">
      <alignment vertical="center"/>
    </xf>
    <xf numFmtId="0" fontId="54" fillId="39" borderId="0" xfId="0" applyFont="1" applyFill="1" applyAlignment="1">
      <alignment horizontal="left" vertical="center"/>
    </xf>
    <xf numFmtId="0" fontId="65" fillId="0" borderId="1" xfId="0" applyFont="1" applyBorder="1" applyAlignment="1">
      <alignment vertical="center"/>
    </xf>
    <xf numFmtId="0" fontId="65" fillId="0" borderId="1" xfId="0" applyFont="1" applyBorder="1" applyAlignment="1">
      <alignment vertical="center" wrapText="1"/>
    </xf>
    <xf numFmtId="0" fontId="54" fillId="0" borderId="2" xfId="0" applyFont="1" applyBorder="1" applyAlignment="1">
      <alignment vertical="center"/>
    </xf>
    <xf numFmtId="0" fontId="65" fillId="0" borderId="1" xfId="0" applyFont="1" applyBorder="1" applyAlignment="1">
      <alignment horizontal="left" vertical="center"/>
    </xf>
    <xf numFmtId="0" fontId="65" fillId="0" borderId="0" xfId="0" applyFont="1" applyAlignment="1">
      <alignment horizontal="left" vertical="center"/>
    </xf>
    <xf numFmtId="49" fontId="89" fillId="51" borderId="0" xfId="0" applyNumberFormat="1" applyFont="1" applyFill="1" applyBorder="1" applyAlignment="1">
      <alignment horizontal="left" vertical="center" wrapText="1"/>
    </xf>
    <xf numFmtId="49" fontId="89" fillId="50" borderId="0" xfId="0" applyNumberFormat="1" applyFont="1" applyFill="1" applyBorder="1" applyAlignment="1">
      <alignment horizontal="left" vertical="center" wrapText="1"/>
    </xf>
    <xf numFmtId="4" fontId="0" fillId="0" borderId="0" xfId="0" applyNumberFormat="1" applyFill="1" applyAlignment="1">
      <alignment horizontal="right" vertical="top"/>
    </xf>
    <xf numFmtId="4" fontId="7" fillId="0" borderId="1" xfId="0" applyNumberFormat="1" applyFont="1" applyFill="1" applyBorder="1" applyAlignment="1">
      <alignment horizontal="right" vertical="center" wrapText="1"/>
    </xf>
    <xf numFmtId="4" fontId="64" fillId="20" borderId="6" xfId="19" applyNumberFormat="1" applyFont="1" applyFill="1" applyBorder="1" applyAlignment="1">
      <alignment vertical="center" wrapText="1"/>
    </xf>
    <xf numFmtId="4" fontId="12" fillId="18" borderId="1" xfId="0" applyNumberFormat="1" applyFont="1" applyFill="1" applyBorder="1" applyAlignment="1">
      <alignment horizontal="right" vertical="center"/>
    </xf>
    <xf numFmtId="4" fontId="12" fillId="18" borderId="6" xfId="1" applyNumberFormat="1" applyFont="1" applyFill="1" applyBorder="1" applyAlignment="1">
      <alignment horizontal="right" vertical="center"/>
    </xf>
    <xf numFmtId="4" fontId="65" fillId="4" borderId="1" xfId="0" applyNumberFormat="1" applyFont="1" applyFill="1" applyBorder="1" applyAlignment="1">
      <alignment horizontal="right" vertical="center"/>
    </xf>
    <xf numFmtId="0" fontId="12" fillId="4" borderId="0" xfId="0" applyFont="1" applyFill="1" applyAlignment="1">
      <alignment horizontal="right" vertical="center"/>
    </xf>
    <xf numFmtId="4" fontId="65" fillId="0" borderId="1" xfId="0" applyNumberFormat="1" applyFont="1" applyFill="1" applyBorder="1" applyAlignment="1">
      <alignment horizontal="right" vertical="center"/>
    </xf>
    <xf numFmtId="4" fontId="85" fillId="53" borderId="0" xfId="0" applyNumberFormat="1" applyFont="1" applyFill="1" applyBorder="1" applyAlignment="1">
      <alignment horizontal="right" vertical="top" wrapText="1"/>
    </xf>
    <xf numFmtId="4" fontId="88" fillId="50" borderId="0" xfId="0" applyNumberFormat="1" applyFont="1" applyFill="1" applyBorder="1" applyAlignment="1">
      <alignment horizontal="right" vertical="center" wrapText="1"/>
    </xf>
    <xf numFmtId="4" fontId="0" fillId="0" borderId="0" xfId="0" applyNumberFormat="1" applyFill="1" applyBorder="1" applyAlignment="1">
      <alignment horizontal="right" vertical="top"/>
    </xf>
    <xf numFmtId="4" fontId="0" fillId="0" borderId="0" xfId="0" applyNumberFormat="1" applyFill="1" applyBorder="1" applyAlignment="1">
      <alignment horizontal="right"/>
    </xf>
    <xf numFmtId="49" fontId="34" fillId="5"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3" fontId="12" fillId="0" borderId="1" xfId="1" applyFont="1" applyFill="1" applyBorder="1" applyAlignment="1">
      <alignment horizontal="center" vertical="center" wrapText="1"/>
    </xf>
    <xf numFmtId="49" fontId="12" fillId="5" borderId="1" xfId="0" applyNumberFormat="1" applyFont="1" applyFill="1" applyBorder="1" applyAlignment="1">
      <alignment horizontal="center" vertical="center" wrapText="1"/>
    </xf>
    <xf numFmtId="49" fontId="12" fillId="5" borderId="2" xfId="0" applyNumberFormat="1" applyFont="1" applyFill="1" applyBorder="1" applyAlignment="1">
      <alignment horizontal="center" vertical="center" wrapText="1"/>
    </xf>
    <xf numFmtId="49" fontId="13" fillId="5" borderId="2" xfId="0" applyNumberFormat="1" applyFont="1" applyFill="1" applyBorder="1" applyAlignment="1">
      <alignment horizontal="center" vertical="center" wrapText="1"/>
    </xf>
    <xf numFmtId="49" fontId="34" fillId="5" borderId="2" xfId="0" applyNumberFormat="1" applyFont="1" applyFill="1" applyBorder="1" applyAlignment="1">
      <alignment horizontal="center" vertical="center" wrapText="1"/>
    </xf>
    <xf numFmtId="0" fontId="0" fillId="18" borderId="1" xfId="0" applyFill="1" applyBorder="1" applyAlignment="1">
      <alignment horizontal="center"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8" fillId="0" borderId="9" xfId="0" applyFont="1" applyBorder="1" applyAlignment="1">
      <alignment horizontal="center"/>
    </xf>
    <xf numFmtId="0" fontId="18" fillId="0" borderId="0" xfId="0" applyFont="1" applyAlignment="1">
      <alignment horizontal="center"/>
    </xf>
    <xf numFmtId="0" fontId="18" fillId="0" borderId="9" xfId="0" applyFont="1" applyBorder="1" applyAlignment="1">
      <alignment horizontal="center" vertical="justify" wrapText="1"/>
    </xf>
    <xf numFmtId="0" fontId="18" fillId="0" borderId="0" xfId="0" applyFont="1" applyAlignment="1">
      <alignment horizontal="center" vertical="justify" wrapText="1"/>
    </xf>
    <xf numFmtId="0" fontId="3" fillId="5" borderId="0" xfId="0" applyFont="1" applyFill="1" applyAlignment="1">
      <alignment horizontal="center"/>
    </xf>
    <xf numFmtId="0" fontId="4" fillId="6" borderId="1" xfId="0" applyFont="1" applyFill="1" applyBorder="1" applyAlignment="1">
      <alignment horizontal="center" vertical="center" wrapText="1"/>
    </xf>
    <xf numFmtId="0" fontId="20" fillId="4" borderId="1" xfId="0" applyFont="1" applyFill="1" applyBorder="1" applyAlignment="1">
      <alignment horizontal="center" vertical="center"/>
    </xf>
    <xf numFmtId="43" fontId="20" fillId="4" borderId="1" xfId="1" applyFont="1" applyFill="1" applyBorder="1" applyAlignment="1">
      <alignment horizontal="center" vertical="center"/>
    </xf>
    <xf numFmtId="0" fontId="21" fillId="8" borderId="1" xfId="0" applyFont="1" applyFill="1" applyBorder="1" applyAlignment="1">
      <alignment horizontal="center" vertical="center" wrapText="1"/>
    </xf>
    <xf numFmtId="1" fontId="22" fillId="9" borderId="1" xfId="0" applyNumberFormat="1" applyFont="1" applyFill="1" applyBorder="1" applyAlignment="1">
      <alignment horizontal="center" vertical="center" wrapText="1" readingOrder="1"/>
    </xf>
    <xf numFmtId="0" fontId="2" fillId="7" borderId="1" xfId="0" applyFont="1" applyFill="1" applyBorder="1" applyAlignment="1">
      <alignment horizontal="center" vertical="center" wrapText="1"/>
    </xf>
    <xf numFmtId="4" fontId="23" fillId="10" borderId="10" xfId="3" applyNumberFormat="1" applyFont="1" applyFill="1" applyBorder="1" applyAlignment="1" applyProtection="1">
      <alignment horizontal="right" vertical="center" wrapText="1"/>
      <protection locked="0"/>
    </xf>
    <xf numFmtId="4" fontId="23" fillId="10" borderId="11" xfId="3" applyNumberFormat="1" applyFont="1" applyFill="1" applyBorder="1" applyAlignment="1" applyProtection="1">
      <alignment horizontal="right" vertical="center" wrapText="1"/>
      <protection locked="0"/>
    </xf>
    <xf numFmtId="4" fontId="23" fillId="10" borderId="5" xfId="3" applyNumberFormat="1" applyFont="1" applyFill="1" applyBorder="1" applyAlignment="1" applyProtection="1">
      <alignment horizontal="right" vertical="center" wrapText="1"/>
      <protection locked="0"/>
    </xf>
    <xf numFmtId="4" fontId="23" fillId="10" borderId="12" xfId="3" applyNumberFormat="1" applyFont="1" applyFill="1" applyBorder="1" applyAlignment="1" applyProtection="1">
      <alignment horizontal="right" vertical="center" wrapText="1"/>
      <protection locked="0"/>
    </xf>
    <xf numFmtId="0" fontId="2" fillId="7" borderId="15"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12" xfId="0" applyFont="1" applyFill="1" applyBorder="1" applyAlignment="1">
      <alignment horizontal="center" vertical="center" wrapText="1"/>
    </xf>
    <xf numFmtId="42" fontId="23" fillId="16" borderId="15" xfId="3" applyFont="1" applyFill="1" applyBorder="1" applyAlignment="1" applyProtection="1">
      <alignment horizontal="center" vertical="center" wrapText="1"/>
      <protection locked="0"/>
    </xf>
    <xf numFmtId="42" fontId="23" fillId="16" borderId="10" xfId="3" applyFont="1" applyFill="1" applyBorder="1" applyAlignment="1" applyProtection="1">
      <alignment horizontal="center" vertical="center" wrapText="1"/>
      <protection locked="0"/>
    </xf>
    <xf numFmtId="42" fontId="23" fillId="16" borderId="11" xfId="3" applyFont="1" applyFill="1" applyBorder="1" applyAlignment="1" applyProtection="1">
      <alignment horizontal="center" vertical="center" wrapText="1"/>
      <protection locked="0"/>
    </xf>
    <xf numFmtId="42" fontId="23" fillId="16" borderId="16" xfId="3" applyFont="1" applyFill="1" applyBorder="1" applyAlignment="1" applyProtection="1">
      <alignment horizontal="center" vertical="center" wrapText="1"/>
      <protection locked="0"/>
    </xf>
    <xf numFmtId="42" fontId="23" fillId="16" borderId="5" xfId="3" applyFont="1" applyFill="1" applyBorder="1" applyAlignment="1" applyProtection="1">
      <alignment horizontal="center" vertical="center" wrapText="1"/>
      <protection locked="0"/>
    </xf>
    <xf numFmtId="42" fontId="23" fillId="16" borderId="12" xfId="3" applyFont="1" applyFill="1" applyBorder="1" applyAlignment="1" applyProtection="1">
      <alignment horizontal="center" vertical="center" wrapText="1"/>
      <protection locked="0"/>
    </xf>
    <xf numFmtId="179" fontId="0" fillId="0" borderId="2" xfId="19" applyNumberFormat="1" applyFont="1" applyFill="1" applyBorder="1" applyAlignment="1">
      <alignment horizontal="center" vertical="center"/>
    </xf>
    <xf numFmtId="179" fontId="0" fillId="0" borderId="7" xfId="19" applyNumberFormat="1" applyFont="1" applyFill="1" applyBorder="1" applyAlignment="1">
      <alignment horizontal="center" vertical="center"/>
    </xf>
    <xf numFmtId="179" fontId="0" fillId="0" borderId="6" xfId="19" applyNumberFormat="1" applyFont="1" applyFill="1" applyBorder="1" applyAlignment="1">
      <alignment horizontal="center" vertical="center"/>
    </xf>
    <xf numFmtId="39" fontId="0" fillId="0" borderId="2" xfId="19" applyNumberFormat="1" applyFont="1" applyFill="1" applyBorder="1" applyAlignment="1">
      <alignment horizontal="center" vertical="center"/>
    </xf>
    <xf numFmtId="39" fontId="0" fillId="0" borderId="7" xfId="19" applyNumberFormat="1" applyFont="1" applyFill="1" applyBorder="1" applyAlignment="1">
      <alignment horizontal="center" vertical="center"/>
    </xf>
    <xf numFmtId="39" fontId="0" fillId="0" borderId="6" xfId="19" applyNumberFormat="1" applyFont="1" applyFill="1" applyBorder="1" applyAlignment="1">
      <alignment horizontal="center" vertical="center"/>
    </xf>
    <xf numFmtId="0" fontId="0" fillId="0" borderId="2" xfId="19" applyNumberFormat="1" applyFont="1" applyFill="1" applyBorder="1" applyAlignment="1">
      <alignment horizontal="center" vertical="center"/>
    </xf>
    <xf numFmtId="0" fontId="0" fillId="0" borderId="6" xfId="19" applyNumberFormat="1" applyFont="1" applyFill="1" applyBorder="1" applyAlignment="1">
      <alignment horizontal="center" vertical="center"/>
    </xf>
    <xf numFmtId="0" fontId="0" fillId="0" borderId="1" xfId="0" applyFont="1" applyFill="1" applyBorder="1" applyAlignment="1">
      <alignment vertical="center" wrapText="1"/>
    </xf>
    <xf numFmtId="0" fontId="13" fillId="35" borderId="3" xfId="0" applyFont="1" applyFill="1" applyBorder="1" applyAlignment="1">
      <alignment horizontal="center" vertical="center" wrapText="1"/>
    </xf>
    <xf numFmtId="0" fontId="13" fillId="35" borderId="4" xfId="0" applyFont="1" applyFill="1" applyBorder="1" applyAlignment="1">
      <alignment horizontal="center" vertical="center" wrapText="1"/>
    </xf>
    <xf numFmtId="0" fontId="3" fillId="36" borderId="36" xfId="0" applyFont="1" applyFill="1" applyBorder="1" applyAlignment="1">
      <alignment horizontal="center"/>
    </xf>
    <xf numFmtId="0" fontId="3" fillId="36" borderId="37" xfId="0" applyFont="1" applyFill="1" applyBorder="1" applyAlignment="1">
      <alignment horizontal="center"/>
    </xf>
    <xf numFmtId="0" fontId="3" fillId="36" borderId="38" xfId="0" applyFont="1" applyFill="1" applyBorder="1" applyAlignment="1">
      <alignment horizontal="center"/>
    </xf>
    <xf numFmtId="0" fontId="0" fillId="0" borderId="2"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66" fillId="0" borderId="0" xfId="0" applyFont="1" applyAlignment="1">
      <alignment horizontal="center"/>
    </xf>
    <xf numFmtId="0" fontId="0" fillId="0" borderId="1" xfId="0" applyFont="1" applyFill="1" applyBorder="1" applyAlignment="1">
      <alignment horizontal="center" vertical="center" wrapText="1"/>
    </xf>
    <xf numFmtId="0" fontId="13" fillId="33" borderId="3" xfId="0" applyFont="1" applyFill="1" applyBorder="1" applyAlignment="1">
      <alignment horizontal="center" vertical="center" wrapText="1"/>
    </xf>
    <xf numFmtId="0" fontId="13" fillId="33" borderId="4" xfId="0" applyFont="1" applyFill="1" applyBorder="1" applyAlignment="1">
      <alignment horizontal="center" vertical="center" wrapText="1"/>
    </xf>
    <xf numFmtId="38" fontId="45" fillId="21" borderId="17" xfId="30" applyNumberFormat="1" applyFont="1" applyFill="1" applyBorder="1" applyAlignment="1">
      <alignment horizontal="center" vertical="center" wrapText="1"/>
    </xf>
    <xf numFmtId="38" fontId="45" fillId="21" borderId="18" xfId="30" applyNumberFormat="1" applyFont="1" applyFill="1" applyBorder="1" applyAlignment="1">
      <alignment horizontal="center" vertical="center" wrapText="1"/>
    </xf>
    <xf numFmtId="38" fontId="46" fillId="21" borderId="18" xfId="30" applyNumberFormat="1" applyFont="1" applyFill="1" applyBorder="1" applyAlignment="1">
      <alignment horizontal="center" vertical="center" wrapText="1"/>
    </xf>
    <xf numFmtId="38" fontId="45" fillId="21" borderId="19" xfId="30" applyNumberFormat="1" applyFont="1" applyFill="1" applyBorder="1" applyAlignment="1">
      <alignment horizontal="center" vertical="center" wrapText="1"/>
    </xf>
    <xf numFmtId="38" fontId="45" fillId="21" borderId="20" xfId="30" applyNumberFormat="1" applyFont="1" applyFill="1" applyBorder="1" applyAlignment="1">
      <alignment horizontal="center" vertical="center" wrapText="1"/>
    </xf>
    <xf numFmtId="38" fontId="45" fillId="21" borderId="0" xfId="30" applyNumberFormat="1" applyFont="1" applyFill="1" applyBorder="1" applyAlignment="1">
      <alignment horizontal="center" vertical="center" wrapText="1"/>
    </xf>
    <xf numFmtId="38" fontId="46" fillId="21" borderId="0" xfId="30" applyNumberFormat="1" applyFont="1" applyFill="1" applyBorder="1" applyAlignment="1">
      <alignment horizontal="center" vertical="center" wrapText="1"/>
    </xf>
    <xf numFmtId="38" fontId="45" fillId="21" borderId="21" xfId="30" applyNumberFormat="1" applyFont="1" applyFill="1" applyBorder="1" applyAlignment="1">
      <alignment horizontal="center" vertical="center" wrapText="1"/>
    </xf>
    <xf numFmtId="38" fontId="45" fillId="21" borderId="22" xfId="30" applyNumberFormat="1" applyFont="1" applyFill="1" applyBorder="1" applyAlignment="1">
      <alignment horizontal="center" vertical="center" wrapText="1"/>
    </xf>
    <xf numFmtId="38" fontId="45" fillId="21" borderId="23" xfId="30" applyNumberFormat="1" applyFont="1" applyFill="1" applyBorder="1" applyAlignment="1">
      <alignment horizontal="center" vertical="center" wrapText="1"/>
    </xf>
    <xf numFmtId="38" fontId="46" fillId="21" borderId="23" xfId="30" applyNumberFormat="1" applyFont="1" applyFill="1" applyBorder="1" applyAlignment="1">
      <alignment horizontal="center" vertical="center" wrapText="1"/>
    </xf>
    <xf numFmtId="38" fontId="45" fillId="21" borderId="24" xfId="30" applyNumberFormat="1" applyFont="1" applyFill="1" applyBorder="1" applyAlignment="1">
      <alignment horizontal="center" vertical="center" wrapText="1"/>
    </xf>
    <xf numFmtId="0" fontId="48" fillId="22" borderId="25" xfId="0" applyFont="1" applyFill="1" applyBorder="1" applyAlignment="1">
      <alignment horizontal="center"/>
    </xf>
    <xf numFmtId="0" fontId="48" fillId="22" borderId="26" xfId="0" applyFont="1" applyFill="1" applyBorder="1" applyAlignment="1">
      <alignment horizontal="center"/>
    </xf>
    <xf numFmtId="0" fontId="49" fillId="22" borderId="26" xfId="0" applyFont="1" applyFill="1" applyBorder="1" applyAlignment="1">
      <alignment horizontal="center"/>
    </xf>
    <xf numFmtId="0" fontId="48" fillId="22" borderId="27" xfId="0" applyFont="1" applyFill="1" applyBorder="1" applyAlignment="1">
      <alignment horizontal="center"/>
    </xf>
    <xf numFmtId="0" fontId="48" fillId="23" borderId="28" xfId="0" applyFont="1" applyFill="1" applyBorder="1" applyAlignment="1">
      <alignment horizontal="center"/>
    </xf>
    <xf numFmtId="0" fontId="48" fillId="23" borderId="29" xfId="0" applyFont="1" applyFill="1" applyBorder="1" applyAlignment="1">
      <alignment horizontal="center"/>
    </xf>
    <xf numFmtId="0" fontId="48" fillId="23" borderId="30" xfId="0" applyFont="1" applyFill="1" applyBorder="1" applyAlignment="1">
      <alignment horizontal="center"/>
    </xf>
    <xf numFmtId="9" fontId="35"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2" fillId="32" borderId="0" xfId="0" applyFont="1" applyFill="1" applyAlignment="1">
      <alignment horizontal="right" vertical="center"/>
    </xf>
    <xf numFmtId="4" fontId="12" fillId="33" borderId="1" xfId="1" applyNumberFormat="1" applyFont="1" applyFill="1" applyBorder="1" applyAlignment="1">
      <alignment horizontal="right" vertical="center"/>
    </xf>
    <xf numFmtId="4" fontId="12" fillId="29" borderId="1" xfId="1" applyNumberFormat="1" applyFont="1" applyFill="1" applyBorder="1" applyAlignment="1">
      <alignment horizontal="right" vertical="center"/>
    </xf>
    <xf numFmtId="49" fontId="89" fillId="50" borderId="1" xfId="0" applyNumberFormat="1" applyFont="1" applyFill="1" applyBorder="1" applyAlignment="1">
      <alignment horizontal="left" vertical="center" wrapText="1"/>
    </xf>
    <xf numFmtId="4" fontId="12" fillId="0" borderId="2" xfId="1" applyNumberFormat="1" applyFont="1" applyFill="1" applyBorder="1" applyAlignment="1">
      <alignment horizontal="right" vertical="center"/>
    </xf>
    <xf numFmtId="4" fontId="12" fillId="18" borderId="2" xfId="1" applyNumberFormat="1" applyFont="1" applyFill="1" applyBorder="1" applyAlignment="1">
      <alignment horizontal="right" vertical="center"/>
    </xf>
    <xf numFmtId="4" fontId="12" fillId="0" borderId="2" xfId="2" applyNumberFormat="1" applyFont="1" applyFill="1" applyBorder="1" applyAlignment="1">
      <alignment horizontal="right" vertical="center"/>
    </xf>
    <xf numFmtId="43" fontId="12" fillId="0" borderId="2" xfId="1" applyFont="1" applyFill="1" applyBorder="1" applyAlignment="1">
      <alignment vertical="center"/>
    </xf>
    <xf numFmtId="166" fontId="12" fillId="0" borderId="2" xfId="2" applyNumberFormat="1" applyFont="1" applyFill="1" applyBorder="1" applyAlignment="1">
      <alignment horizontal="center" vertical="center"/>
    </xf>
    <xf numFmtId="4" fontId="0" fillId="0" borderId="1" xfId="0" applyNumberFormat="1" applyBorder="1" applyAlignment="1">
      <alignment horizontal="right" vertical="top"/>
    </xf>
    <xf numFmtId="43" fontId="0" fillId="0" borderId="1" xfId="0" applyNumberFormat="1" applyBorder="1" applyAlignment="1">
      <alignment vertical="top"/>
    </xf>
    <xf numFmtId="0" fontId="0" fillId="0" borderId="1" xfId="0" applyBorder="1" applyAlignment="1">
      <alignment vertical="top"/>
    </xf>
    <xf numFmtId="0" fontId="0" fillId="0" borderId="1" xfId="0" applyBorder="1"/>
    <xf numFmtId="4" fontId="0" fillId="0" borderId="1" xfId="0" applyNumberFormat="1" applyFill="1" applyBorder="1" applyAlignment="1">
      <alignment horizontal="right" vertical="top"/>
    </xf>
    <xf numFmtId="166" fontId="0" fillId="0" borderId="1" xfId="2" applyNumberFormat="1" applyFont="1" applyBorder="1" applyAlignment="1">
      <alignment vertical="top"/>
    </xf>
    <xf numFmtId="4" fontId="0" fillId="0" borderId="1" xfId="0" applyNumberFormat="1" applyFill="1" applyBorder="1" applyAlignment="1">
      <alignment horizontal="right"/>
    </xf>
  </cellXfs>
  <cellStyles count="62">
    <cellStyle name="Euro" xfId="5"/>
    <cellStyle name="KPT04" xfId="56"/>
    <cellStyle name="Millares" xfId="1" builtinId="3"/>
    <cellStyle name="Millares [0]" xfId="2" builtinId="6"/>
    <cellStyle name="Millares [0] 2" xfId="6"/>
    <cellStyle name="Millares [0] 3" xfId="7"/>
    <cellStyle name="Millares 2" xfId="8"/>
    <cellStyle name="Millares 2 2" xfId="9"/>
    <cellStyle name="Millares 2 2 2" xfId="10"/>
    <cellStyle name="Millares 2 2 2 3" xfId="11"/>
    <cellStyle name="Millares 2 3" xfId="12"/>
    <cellStyle name="Millares 3" xfId="13"/>
    <cellStyle name="Millares 3 2" xfId="14"/>
    <cellStyle name="Millares 4" xfId="15"/>
    <cellStyle name="Millares 5" xfId="16"/>
    <cellStyle name="Millares 5 2" xfId="17"/>
    <cellStyle name="Millares 5 3" xfId="18"/>
    <cellStyle name="Millares 6" xfId="19"/>
    <cellStyle name="Millares 7" xfId="20"/>
    <cellStyle name="Moneda [0]" xfId="3" builtinId="7"/>
    <cellStyle name="Moneda 2" xfId="21"/>
    <cellStyle name="Moneda 2 2" xfId="22"/>
    <cellStyle name="Moneda 3" xfId="23"/>
    <cellStyle name="Moneda 4" xfId="24"/>
    <cellStyle name="Nivel 1,2.3,5,6,9" xfId="57"/>
    <cellStyle name="Nivel 7" xfId="58"/>
    <cellStyle name="Normal" xfId="0" builtinId="0"/>
    <cellStyle name="Normal 11" xfId="25"/>
    <cellStyle name="Normal 11 10 2" xfId="26"/>
    <cellStyle name="Normal 11 10 2 2" xfId="27"/>
    <cellStyle name="Normal 15" xfId="28"/>
    <cellStyle name="Normal 19" xfId="29"/>
    <cellStyle name="Normal 2" xfId="30"/>
    <cellStyle name="Normal 2 2" xfId="31"/>
    <cellStyle name="Normal 2 3" xfId="59"/>
    <cellStyle name="Normal 2 4" xfId="60"/>
    <cellStyle name="Normal 3" xfId="32"/>
    <cellStyle name="Normal 3 2" xfId="33"/>
    <cellStyle name="Normal 34" xfId="34"/>
    <cellStyle name="Normal 35" xfId="35"/>
    <cellStyle name="Normal 4" xfId="36"/>
    <cellStyle name="Normal 4 2" xfId="61"/>
    <cellStyle name="Normal 5" xfId="37"/>
    <cellStyle name="Normal 5 2" xfId="38"/>
    <cellStyle name="Normal 5 2 2" xfId="39"/>
    <cellStyle name="Normal 5 3" xfId="55"/>
    <cellStyle name="Normal 6" xfId="40"/>
    <cellStyle name="Normal 7" xfId="41"/>
    <cellStyle name="Normal 8" xfId="42"/>
    <cellStyle name="Normal 9" xfId="43"/>
    <cellStyle name="Porcentaje" xfId="4" builtinId="5"/>
    <cellStyle name="Porcentaje 2" xfId="44"/>
    <cellStyle name="Porcentaje 2 2" xfId="45"/>
    <cellStyle name="Porcentaje 3" xfId="46"/>
    <cellStyle name="Porcentual 2" xfId="47"/>
    <cellStyle name="Porcentual 3" xfId="48"/>
    <cellStyle name="Porcentual 4" xfId="49"/>
    <cellStyle name="Porcentual 4 2" xfId="50"/>
    <cellStyle name="Porcentual 5" xfId="51"/>
    <cellStyle name="Porcentual 5 2" xfId="52"/>
    <cellStyle name="Porcentual 6" xfId="53"/>
    <cellStyle name="Porcentual 7"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41</xdr:col>
      <xdr:colOff>1385092</xdr:colOff>
      <xdr:row>1</xdr:row>
      <xdr:rowOff>28013</xdr:rowOff>
    </xdr:from>
    <xdr:to>
      <xdr:col>42</xdr:col>
      <xdr:colOff>866197</xdr:colOff>
      <xdr:row>2</xdr:row>
      <xdr:rowOff>222309</xdr:rowOff>
    </xdr:to>
    <xdr:pic>
      <xdr:nvPicPr>
        <xdr:cNvPr id="2" name="Imagen 1" descr="ENCABEZADO">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549892" y="351863"/>
          <a:ext cx="862230" cy="518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ocuments%20and%20Settings\rtorres\Configuraci&#243;n%20local\Archivos%20temporales%20de%20Internet\OLK3\Consejos%20comunales\Cifras%20soporte\Educaci&#243;n\COSTOS%20Y%20RECURSOS%20EDUCACION%20BASIC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OPREFCJ1\CARBOCOL\MODCARB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OPREFCJ1\CAFE\MODCAF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rhenals\gobierno\Gobierno\Cierre97\OPEF%201997%20Cier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21/PLAN%20DE%20ACCION/PLAN%20ACCION%20%202021%20FORMATO%20v1gobern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P 2002 A 2020"/>
      <sheetName val="SGP-PRESUPUESTADO 2003"/>
      <sheetName val="Distr. S.G.P."/>
      <sheetName val="BASE DE COSTOS MUNICIPIOS-MEN"/>
      <sheetName val="CALIDAD-2002"/>
      <sheetName val="BASE DE COSTOS MUNICIPIOS-DNP"/>
      <sheetName val="PROPUESTA REFORMA PENSIONAL"/>
      <sheetName val="RESPUESTA DERECHO DE PETICION"/>
      <sheetName val="PICN para Educación"/>
      <sheetName val="SITUADO FISCAL 1993 A 1998"/>
      <sheetName val="SITUAD FISCAL Y FEC 1996 A 2002"/>
      <sheetName val="RECURSOS FEC"/>
      <sheetName val="COSTOS Vs. INGRESOS SGP-2002"/>
      <sheetName val="COMPARATIVO"/>
      <sheetName val="RESUMEN COSTOS Vs. SGP 2002"/>
      <sheetName val="SITUACION FINANCIERA A 2002"/>
      <sheetName val="SITUACION FINANCIERA 2003 11-12"/>
      <sheetName val="SITUACION FINANCIERA 2003-12-12"/>
      <sheetName val="EDUCACION Vs. SALUD"/>
      <sheetName val="Prestserv-MEN-Proyectar  SGP"/>
      <sheetName val="Prestserv-MEN-2001-Proy.2002"/>
      <sheetName val="Aportespatr.-MEN-2001-Proy.2002"/>
      <sheetName val="Respresaport-MEN-2001-Proy.2002"/>
      <sheetName val="Resumendeficit-MEN-2001"/>
      <sheetName val="costosprestservcdeudas-MEN-2001"/>
      <sheetName val="DEFICITCONVEN-MEN-2001"/>
      <sheetName val="Deudas Paragrafo 3 artículo 15 "/>
      <sheetName val="deudas verificadas a 2001"/>
      <sheetName val="Deudas a 31-12-2001-Millones"/>
      <sheetName val="DEUDAS A 31-12-2001-Pesos"/>
      <sheetName val="DEUDAS 31-12-2000"/>
      <sheetName val="GIROS SITUAD.FISCAL- 2000"/>
      <sheetName val="GIROS SITUADO FISCAL Y FEC 2001"/>
      <sheetName val="COMPROMISOS Y PAGOS SGP 2002"/>
      <sheetName val="GIROS SITUADO FISCAL - 2001"/>
      <sheetName val="FEC-DNP"/>
      <sheetName val="COSTOS FECODE 04-04-2001"/>
      <sheetName val="Docentes Por Municipio y Fuente"/>
      <sheetName val="Docentes Por Fuente Financiació"/>
      <sheetName val="GOBIERNO Vs. FECODE"/>
      <sheetName val="BOLSA GLOBAL CONCERTADA 25-05"/>
      <sheetName val="COSTOS Vs. BOLSA"/>
      <sheetName val="CUADROS Vs GRAFICA"/>
      <sheetName val="COSTOS 2000 Y 2001-PLAN FINANCI"/>
      <sheetName val="COSTOS 2001-VERSION DGP-SEPTIEM"/>
      <sheetName val="COSTOS 2000 Y 2001- PRESUPUESTO"/>
      <sheetName val="RESUMEN COSTOS 2001"/>
      <sheetName val="COSTOS 2001-ACTUALIZ.COSTOS MEN"/>
      <sheetName val="MENSUALIDAD 2002 DEPTOS Y MUNIC"/>
      <sheetName val="MENSUALIDAD 2002 MUNIC.NO CERTI"/>
      <sheetName val="EJECUCION  POR RUBRO A 2001"/>
      <sheetName val="COSTOS PROYECTADOS 2002"/>
      <sheetName val="TOTAL SITUADO FISCAL + $250.288"/>
      <sheetName val="SITUAD.FISC.FEC 96-01-PLAN FINA"/>
      <sheetName val="DISTRIBICION DE $784 Y $427"/>
      <sheetName val="TOTAL SITUADO 1996 Vs 2001"/>
      <sheetName val="SITUADO FISCAL 1993 "/>
      <sheetName val="RESUMEN 1996 A 2001 (2)"/>
      <sheetName val="RESUMEN 1996 A 2001"/>
      <sheetName val="SITUADO FISCAL 2001"/>
      <sheetName val="SITUADO FISCAL AFORADO"/>
      <sheetName val="VALOR UN PUNTO 200-9%-2,5%  "/>
      <sheetName val="VALOR PUNTO 2001-DECRETO 2713  "/>
      <sheetName val="VALOR PUNTO 2002-DECRETO 688"/>
      <sheetName val="VALOR PUNTO 2002-DECRETO 68 (3)"/>
      <sheetName val="VALOR PUNTO 2002-DECRETO 68 (4)"/>
      <sheetName val="incremento salarial por rangos"/>
      <sheetName val="VALOR PUNTO PROYECTADO 2003"/>
      <sheetName val="AHORRO POR POLÍTICA SALARIAL"/>
      <sheetName val="VALOR UN PUNTO 2001 - 8.75%"/>
      <sheetName val="VALOR UN PUNTO 2000"/>
      <sheetName val="VALOR UN PUNTO INCREMENTO PARCI"/>
      <sheetName val="BOLSA-ACTO LEGISLATIVO  (2)"/>
      <sheetName val="BOLSA-ACTO LEGISLATIVO "/>
      <sheetName val="2ULTIMA VERSION ACTO LEGISL.DNP"/>
      <sheetName val="ULTIMA VERSION ACTO LEGISL.DNP"/>
      <sheetName val="Escenarios todos Munc"/>
      <sheetName val="Escenarios Sin OPS muncipales"/>
      <sheetName val="SITUACION FINANCIERA 9% Y 2.5%"/>
      <sheetName val="SITUACION FINANCIERA S.F.Compl "/>
      <sheetName val="SITUACION FINANCIERA SIN ACTO"/>
      <sheetName val="SITUACION FINANCIERA CON ACTO"/>
      <sheetName val="DEFICIT DEFINITIVO 31-10-99"/>
      <sheetName val="COSTO 2000 Inc.P.EJECUC.A JUNIO"/>
      <sheetName val="RESUMEN DE COSTOS 2000 Y 2001"/>
      <sheetName val="Hoja1"/>
      <sheetName val="COSTOS 2000 MEN"/>
      <sheetName val="COSTOS 2000-01 EN MILLONES"/>
      <sheetName val="CARTAGENA"/>
      <sheetName val="BOYACA"/>
      <sheetName val="ANTIOQUIA"/>
      <sheetName val="QUINDIO"/>
      <sheetName val="VALLE"/>
      <sheetName val="BOGOTA"/>
      <sheetName val="SUCRE"/>
      <sheetName val="HUILA"/>
      <sheetName val="VALOR PUNTO 2002-DECRETO 68 (2)"/>
      <sheetName val="DECRETOS SALARIALES DOCENTES"/>
      <sheetName val="EVOLUCION DE LOS SAL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CARBOCOL"/>
      <sheetName val="PRES NETO"/>
      <sheetName val="DEUDA EXTERNA"/>
      <sheetName val="SUPUESTOS"/>
      <sheetName val="RESUMEN"/>
      <sheetName val="RESUMEN CON PLAN"/>
      <sheetName val="PIB"/>
      <sheetName val="TRANSFERENCIAS"/>
      <sheetName val="PPTO97"/>
      <sheetName val="CARBOCOL"/>
      <sheetName val="INTERESES"/>
      <sheetName val="AMORTIZA"/>
      <sheetName val="DEXT"/>
      <sheetName val="Diálogo1"/>
      <sheetName val="Módulo1"/>
      <sheetName val="PROYECTO97"/>
      <sheetName val="Hoja1"/>
      <sheetName val="SEG99"/>
      <sheetName val="RESU99"/>
      <sheetName val="SEG2000"/>
      <sheetName val="RESU2000"/>
      <sheetName val="C1-3vig97-00"/>
      <sheetName val="C1-3vIg98-00"/>
      <sheetName val="chequeo99"/>
      <sheetName val="plano-mensaje"/>
      <sheetName val="C1-3men"/>
      <sheetName val="DIFERENCIAS SIMU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CAFE"/>
      <sheetName val="PRES NETO"/>
      <sheetName val="DEUDA EXTERNA"/>
      <sheetName val="PIB"/>
      <sheetName val="RESUMEN"/>
      <sheetName val="RESUMEN CON PLAN"/>
      <sheetName val="SUPUESTOS"/>
      <sheetName val="CONSOLIDADO"/>
      <sheetName val="CRECIMIENTOS %"/>
      <sheetName val="ANUAL1"/>
      <sheetName val="Asesores Junio 01"/>
      <sheetName val="TRANSFERENCIAS"/>
      <sheetName val="Módulo1"/>
      <sheetName val="MODCAFE"/>
      <sheetName val="DIFERENCIAS SIMUL"/>
      <sheetName val="ASESORES AGOSTO 13"/>
      <sheetName val="ASESORES AGOSTO 11"/>
      <sheetName val="ASESORES SEPTIEM 9"/>
      <sheetName val="ASESORES SEPTIEM 7"/>
      <sheetName val="ASESORES AGOSTO 26"/>
      <sheetName val="ASESORES AGOSTO 24"/>
      <sheetName val="Asesores"/>
      <sheetName val="Asesores nov8-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CSF"/>
      <sheetName val="Seguim. SSF"/>
      <sheetName val="Seguimiento SSF"/>
      <sheetName val="Formato Largo"/>
      <sheetName val="Resumen OPEF"/>
      <sheetName val="Reporte OPEF"/>
      <sheetName val="Resumen MES OPEF"/>
      <sheetName val="Confis Marzo 7-97"/>
      <sheetName val="Reclasificación"/>
      <sheetName val="Historia desembolsos"/>
      <sheetName val="Contingencias 1997"/>
      <sheetName val="Formato FMI"/>
      <sheetName val="Elasticidad"/>
      <sheetName val="Que pasaría si...."/>
      <sheetName val="RESUMEN"/>
      <sheetName val="Hoja1"/>
      <sheetName val="Hoja2"/>
      <sheetName val="94-03 Mil Corr "/>
      <sheetName val="EMBI"/>
    </sheetNames>
    <sheetDataSet>
      <sheetData sheetId="0" refreshError="1">
        <row r="1">
          <cell r="AE1">
            <v>1183.4304445100188</v>
          </cell>
          <cell r="AF1">
            <v>2737.1786575030073</v>
          </cell>
        </row>
        <row r="6">
          <cell r="L6" t="str">
            <v>TESORERIA</v>
          </cell>
          <cell r="M6" t="str">
            <v>RESTO</v>
          </cell>
          <cell r="N6" t="str">
            <v>TOTAL</v>
          </cell>
          <cell r="Q6" t="str">
            <v>Observ.</v>
          </cell>
          <cell r="R6" t="str">
            <v>Observ.</v>
          </cell>
          <cell r="S6" t="str">
            <v>Observ.</v>
          </cell>
          <cell r="T6" t="str">
            <v>Observ.</v>
          </cell>
          <cell r="U6" t="str">
            <v>Observ.</v>
          </cell>
          <cell r="V6" t="str">
            <v>Observ.</v>
          </cell>
          <cell r="W6" t="str">
            <v>Observ.</v>
          </cell>
          <cell r="X6" t="str">
            <v>Observ.</v>
          </cell>
          <cell r="Y6" t="str">
            <v>Observ.</v>
          </cell>
          <cell r="Z6" t="str">
            <v>Observ.</v>
          </cell>
          <cell r="AA6" t="str">
            <v xml:space="preserve">Total </v>
          </cell>
          <cell r="AB6" t="str">
            <v>% PIB</v>
          </cell>
          <cell r="AC6" t="str">
            <v>% PIB</v>
          </cell>
          <cell r="AD6" t="str">
            <v>% PIB</v>
          </cell>
          <cell r="AE6" t="str">
            <v>Progr.</v>
          </cell>
          <cell r="AF6" t="str">
            <v>Progr.</v>
          </cell>
          <cell r="AG6" t="str">
            <v>Progr.</v>
          </cell>
          <cell r="AH6" t="str">
            <v>Progr.</v>
          </cell>
          <cell r="AI6" t="str">
            <v>Progr.</v>
          </cell>
          <cell r="AJ6" t="str">
            <v>Progr.</v>
          </cell>
          <cell r="AK6" t="str">
            <v>Progr.</v>
          </cell>
          <cell r="AL6" t="str">
            <v>Progr.</v>
          </cell>
          <cell r="AM6" t="str">
            <v>Progr.</v>
          </cell>
          <cell r="AN6" t="str">
            <v>Progr.</v>
          </cell>
          <cell r="AO6" t="str">
            <v>Progr.</v>
          </cell>
          <cell r="AP6" t="str">
            <v>Observ.-Prog.</v>
          </cell>
          <cell r="AQ6" t="str">
            <v>Observ.-Prog.</v>
          </cell>
          <cell r="AR6" t="str">
            <v>Observ.-Prog.</v>
          </cell>
          <cell r="AS6" t="str">
            <v>Observ.-Prog.</v>
          </cell>
          <cell r="AT6" t="str">
            <v>Observ.-Prog.</v>
          </cell>
          <cell r="AU6" t="str">
            <v>Observ.-Prog.</v>
          </cell>
          <cell r="AV6" t="str">
            <v>Observ-Prog</v>
          </cell>
          <cell r="AW6" t="str">
            <v>Observ-Prog</v>
          </cell>
          <cell r="AX6" t="str">
            <v>Observ-Prog</v>
          </cell>
          <cell r="AY6" t="str">
            <v>Observ.</v>
          </cell>
          <cell r="AZ6" t="str">
            <v>Observ.</v>
          </cell>
          <cell r="BA6" t="str">
            <v>Observ.</v>
          </cell>
          <cell r="BB6" t="str">
            <v>Observ.</v>
          </cell>
          <cell r="BC6" t="str">
            <v>Observ.</v>
          </cell>
          <cell r="BD6" t="str">
            <v>Observ.</v>
          </cell>
          <cell r="BE6" t="str">
            <v>Observ.</v>
          </cell>
          <cell r="BF6" t="str">
            <v>Observ.</v>
          </cell>
          <cell r="BG6" t="str">
            <v>Observ.</v>
          </cell>
          <cell r="BH6" t="str">
            <v>Progr.</v>
          </cell>
          <cell r="BI6" t="str">
            <v>Progr.</v>
          </cell>
          <cell r="BJ6" t="str">
            <v>Progr.</v>
          </cell>
          <cell r="BK6" t="str">
            <v>Progr.</v>
          </cell>
          <cell r="BL6" t="str">
            <v>Progr.</v>
          </cell>
          <cell r="BM6" t="str">
            <v>Progr.</v>
          </cell>
          <cell r="BN6" t="str">
            <v>Progr.</v>
          </cell>
          <cell r="BO6" t="str">
            <v>Progr.</v>
          </cell>
          <cell r="BP6" t="str">
            <v>Progr.</v>
          </cell>
          <cell r="BQ6" t="str">
            <v>Observ-Progr</v>
          </cell>
          <cell r="BR6" t="str">
            <v>Observ-Progr</v>
          </cell>
          <cell r="BS6" t="str">
            <v>Observ-Progr</v>
          </cell>
          <cell r="BT6" t="str">
            <v>Observ-Progr</v>
          </cell>
          <cell r="BU6" t="str">
            <v>Observ-Progr</v>
          </cell>
          <cell r="BV6" t="str">
            <v>Observ-Progr</v>
          </cell>
          <cell r="BW6" t="str">
            <v>Observ-Progr</v>
          </cell>
          <cell r="BX6" t="str">
            <v>Observ-Progr</v>
          </cell>
          <cell r="BY6" t="str">
            <v>Observ-Progr</v>
          </cell>
          <cell r="BZ6" t="str">
            <v>Observ.</v>
          </cell>
          <cell r="CA6" t="str">
            <v>Observ.</v>
          </cell>
          <cell r="CB6" t="str">
            <v>Observ.</v>
          </cell>
          <cell r="CC6" t="str">
            <v>Observ.</v>
          </cell>
          <cell r="CD6" t="str">
            <v>Observ.</v>
          </cell>
          <cell r="CE6" t="str">
            <v>Diferencias</v>
          </cell>
          <cell r="CF6" t="str">
            <v>Variación</v>
          </cell>
        </row>
        <row r="7">
          <cell r="L7" t="str">
            <v>CSF</v>
          </cell>
          <cell r="M7" t="str">
            <v>SSF</v>
          </cell>
          <cell r="N7" t="str">
            <v>CSF+SSF</v>
          </cell>
          <cell r="Q7">
            <v>35490</v>
          </cell>
          <cell r="R7">
            <v>35521</v>
          </cell>
          <cell r="S7">
            <v>35551</v>
          </cell>
          <cell r="T7">
            <v>35582</v>
          </cell>
          <cell r="U7">
            <v>35612</v>
          </cell>
          <cell r="V7">
            <v>35643</v>
          </cell>
          <cell r="W7">
            <v>35674</v>
          </cell>
          <cell r="X7">
            <v>35704</v>
          </cell>
          <cell r="Y7">
            <v>35735</v>
          </cell>
          <cell r="Z7">
            <v>35765</v>
          </cell>
          <cell r="AA7">
            <v>1997</v>
          </cell>
          <cell r="AB7" t="str">
            <v>CSF</v>
          </cell>
          <cell r="AC7" t="str">
            <v>SSF</v>
          </cell>
          <cell r="AD7" t="str">
            <v>CSF+SSF</v>
          </cell>
          <cell r="AE7" t="str">
            <v>Ene</v>
          </cell>
          <cell r="AF7" t="str">
            <v>Feb</v>
          </cell>
          <cell r="AG7" t="str">
            <v>Mar</v>
          </cell>
          <cell r="AH7" t="str">
            <v>Abr</v>
          </cell>
          <cell r="AI7" t="str">
            <v>May</v>
          </cell>
          <cell r="AJ7" t="str">
            <v>Jun</v>
          </cell>
          <cell r="AK7" t="str">
            <v>Jul</v>
          </cell>
          <cell r="AL7" t="str">
            <v>Ago</v>
          </cell>
          <cell r="AM7" t="str">
            <v>Sep</v>
          </cell>
          <cell r="AN7" t="str">
            <v>Oct</v>
          </cell>
          <cell r="AO7" t="str">
            <v>Nov</v>
          </cell>
          <cell r="AP7" t="str">
            <v>Enero</v>
          </cell>
          <cell r="AQ7" t="str">
            <v>Febrero</v>
          </cell>
          <cell r="AR7" t="str">
            <v>Marzo</v>
          </cell>
          <cell r="AS7" t="str">
            <v>Abril</v>
          </cell>
          <cell r="AT7" t="str">
            <v>Mayo</v>
          </cell>
          <cell r="AU7" t="str">
            <v>Junio</v>
          </cell>
          <cell r="AV7" t="str">
            <v>Julio</v>
          </cell>
          <cell r="AW7" t="str">
            <v>Agosto</v>
          </cell>
          <cell r="AX7" t="str">
            <v>Septiembre</v>
          </cell>
          <cell r="AY7" t="str">
            <v>Ene-Feb</v>
          </cell>
          <cell r="AZ7" t="str">
            <v>Ene-Mar</v>
          </cell>
          <cell r="BA7" t="str">
            <v>Ene-Abr</v>
          </cell>
          <cell r="BB7" t="str">
            <v>Ene-May</v>
          </cell>
          <cell r="BC7" t="str">
            <v>Ene-Jun</v>
          </cell>
          <cell r="BD7" t="str">
            <v>Ene-Jul</v>
          </cell>
          <cell r="BE7" t="str">
            <v>Ene-Agos</v>
          </cell>
          <cell r="BF7" t="str">
            <v>Ene-Sep</v>
          </cell>
          <cell r="BG7" t="str">
            <v>Ene-Oct</v>
          </cell>
          <cell r="BH7" t="str">
            <v>Ene-Feb</v>
          </cell>
          <cell r="BI7" t="str">
            <v>Ene-Mar</v>
          </cell>
          <cell r="BJ7" t="str">
            <v>Ene-Abr</v>
          </cell>
          <cell r="BK7" t="str">
            <v>Ene-May</v>
          </cell>
          <cell r="BL7" t="str">
            <v>Ene-Jun</v>
          </cell>
          <cell r="BM7" t="str">
            <v>Ene-Jul</v>
          </cell>
          <cell r="BN7" t="str">
            <v>Ene-Agos</v>
          </cell>
          <cell r="BO7" t="str">
            <v>Ene-Sep</v>
          </cell>
          <cell r="BP7" t="str">
            <v>Ene-Oct</v>
          </cell>
          <cell r="BQ7" t="str">
            <v>Ene-Feb</v>
          </cell>
          <cell r="BR7" t="str">
            <v>Ene-Mar</v>
          </cell>
          <cell r="BS7" t="str">
            <v>Ene-Abr</v>
          </cell>
          <cell r="BT7" t="str">
            <v>Ene-May</v>
          </cell>
          <cell r="BU7" t="str">
            <v>Ene-Jun</v>
          </cell>
          <cell r="BV7" t="str">
            <v>Ene-Jul</v>
          </cell>
          <cell r="BW7" t="str">
            <v>Ene-Agos</v>
          </cell>
          <cell r="BX7" t="str">
            <v>Ene-Sep</v>
          </cell>
          <cell r="BY7" t="str">
            <v>Ene-Sep</v>
          </cell>
          <cell r="BZ7">
            <v>35065</v>
          </cell>
          <cell r="CA7">
            <v>35096</v>
          </cell>
          <cell r="CB7">
            <v>35125</v>
          </cell>
          <cell r="CC7" t="str">
            <v>Ene-Mar 97</v>
          </cell>
          <cell r="CD7" t="str">
            <v>Ene-Mar 96</v>
          </cell>
          <cell r="CE7" t="str">
            <v>Acumulados</v>
          </cell>
          <cell r="CF7" t="str">
            <v>%</v>
          </cell>
        </row>
        <row r="8">
          <cell r="L8">
            <v>14557.600269024355</v>
          </cell>
          <cell r="M8">
            <v>8.8000000000000007</v>
          </cell>
          <cell r="N8">
            <v>14566.400269024356</v>
          </cell>
          <cell r="Q8">
            <v>1117.3881319197103</v>
          </cell>
          <cell r="R8">
            <v>1138.0803272712687</v>
          </cell>
          <cell r="S8">
            <v>1179.738892452445</v>
          </cell>
          <cell r="T8">
            <v>1375.639549804662</v>
          </cell>
          <cell r="U8">
            <v>1498.7542982262826</v>
          </cell>
          <cell r="V8">
            <v>1516.3641834780656</v>
          </cell>
          <cell r="W8">
            <v>1291.9710539185546</v>
          </cell>
          <cell r="X8">
            <v>1380.3897833779629</v>
          </cell>
          <cell r="Y8">
            <v>1091.7683148956307</v>
          </cell>
          <cell r="Z8">
            <v>1511.5768379882973</v>
          </cell>
          <cell r="AA8">
            <v>15168.700840557482</v>
          </cell>
          <cell r="AB8">
            <v>13.527372489443918</v>
          </cell>
          <cell r="AC8">
            <v>8.1772322159718545E-3</v>
          </cell>
          <cell r="AD8">
            <v>13.535549721659891</v>
          </cell>
          <cell r="AE8">
            <v>726.33585039237164</v>
          </cell>
          <cell r="AF8">
            <v>1438.1227019431008</v>
          </cell>
          <cell r="AG8">
            <v>1024.6103000000001</v>
          </cell>
          <cell r="AH8">
            <v>1219.2702560502198</v>
          </cell>
          <cell r="AI8">
            <v>1025.0579905407249</v>
          </cell>
          <cell r="AJ8">
            <v>1318.5125198987557</v>
          </cell>
          <cell r="AK8">
            <v>1386.8531636086091</v>
          </cell>
          <cell r="AL8">
            <v>1364.2976459563383</v>
          </cell>
          <cell r="AM8">
            <v>1147.7798913150875</v>
          </cell>
          <cell r="AN8">
            <v>1361.7922812436839</v>
          </cell>
          <cell r="AO8">
            <v>972.18127346093422</v>
          </cell>
          <cell r="AP8">
            <v>16.457900064195314</v>
          </cell>
          <cell r="AQ8">
            <v>-113.88698517506805</v>
          </cell>
          <cell r="AR8">
            <v>92.777831919710252</v>
          </cell>
          <cell r="AS8">
            <v>-81.189928778951071</v>
          </cell>
          <cell r="AT8">
            <v>154.68090191172018</v>
          </cell>
          <cell r="AU8">
            <v>57.127029905906284</v>
          </cell>
          <cell r="AV8">
            <v>111.90113461767351</v>
          </cell>
          <cell r="AW8">
            <v>152.06653752172724</v>
          </cell>
          <cell r="AX8">
            <v>144.19116260346709</v>
          </cell>
          <cell r="AY8">
            <v>2057.1933626519794</v>
          </cell>
          <cell r="AZ8">
            <v>3166.6159067143199</v>
          </cell>
          <cell r="BA8">
            <v>4301.1716418341994</v>
          </cell>
          <cell r="BB8">
            <v>5477.3676340074853</v>
          </cell>
          <cell r="BC8">
            <v>6848.2653596374657</v>
          </cell>
          <cell r="BD8">
            <v>8344.2977585040571</v>
          </cell>
          <cell r="BE8">
            <v>9857.549639359484</v>
          </cell>
          <cell r="BF8">
            <v>11141.102098057449</v>
          </cell>
          <cell r="BG8">
            <v>12521.491881435413</v>
          </cell>
          <cell r="BH8">
            <v>2106.4596832266393</v>
          </cell>
          <cell r="BI8">
            <v>3189.068852335472</v>
          </cell>
          <cell r="BJ8">
            <v>4408.3391083856923</v>
          </cell>
          <cell r="BK8">
            <v>5433.3970989264171</v>
          </cell>
          <cell r="BL8">
            <v>6751.9096188251733</v>
          </cell>
          <cell r="BM8">
            <v>8138.7627824337815</v>
          </cell>
          <cell r="BN8">
            <v>9503.060428390123</v>
          </cell>
          <cell r="BO8">
            <v>10650.840319705208</v>
          </cell>
          <cell r="BP8">
            <v>12012.632600948893</v>
          </cell>
          <cell r="BQ8">
            <v>-49.266320574659574</v>
          </cell>
          <cell r="BR8">
            <v>-22.452945621152274</v>
          </cell>
          <cell r="BS8">
            <v>-107.16746655149332</v>
          </cell>
          <cell r="BT8">
            <v>43.970535081066949</v>
          </cell>
          <cell r="BU8">
            <v>96.355740812292964</v>
          </cell>
          <cell r="BV8">
            <v>205.5349760702762</v>
          </cell>
          <cell r="BW8">
            <v>354.48921096936294</v>
          </cell>
          <cell r="BX8">
            <v>490.26177835223962</v>
          </cell>
          <cell r="BY8">
            <v>508.85928048651846</v>
          </cell>
          <cell r="BZ8">
            <v>618.83898199999999</v>
          </cell>
          <cell r="CA8">
            <v>1132.2671618140002</v>
          </cell>
          <cell r="CB8">
            <v>923.91891799999996</v>
          </cell>
          <cell r="CC8">
            <v>3166.6159067143199</v>
          </cell>
          <cell r="CD8">
            <v>2675.0250618139994</v>
          </cell>
          <cell r="CE8">
            <v>491.59084490032046</v>
          </cell>
          <cell r="CF8">
            <v>18.377055673899399</v>
          </cell>
        </row>
        <row r="9">
          <cell r="L9">
            <v>12496.099613354061</v>
          </cell>
          <cell r="M9">
            <v>0</v>
          </cell>
          <cell r="N9">
            <v>12496.099613354061</v>
          </cell>
          <cell r="Q9">
            <v>918.67541202805012</v>
          </cell>
          <cell r="R9">
            <v>1041.3214851985501</v>
          </cell>
          <cell r="S9">
            <v>1060.4619888837797</v>
          </cell>
          <cell r="T9">
            <v>1183.4589118603099</v>
          </cell>
          <cell r="U9">
            <v>1175.3498713699</v>
          </cell>
          <cell r="V9">
            <v>1300.8273561133799</v>
          </cell>
          <cell r="W9">
            <v>1030.2689678214899</v>
          </cell>
          <cell r="X9">
            <v>1285.1797225266603</v>
          </cell>
          <cell r="Y9">
            <v>916.57072490871997</v>
          </cell>
          <cell r="Z9">
            <v>1367.4223958232521</v>
          </cell>
          <cell r="AA9">
            <v>13075.612779912501</v>
          </cell>
          <cell r="AB9">
            <v>11.611762310490029</v>
          </cell>
          <cell r="AC9" t="str">
            <v xml:space="preserve"> </v>
          </cell>
          <cell r="AD9">
            <v>11.611762310490029</v>
          </cell>
          <cell r="AE9">
            <v>653.77829999999994</v>
          </cell>
          <cell r="AF9">
            <v>1354.6194</v>
          </cell>
          <cell r="AG9">
            <v>786.88030000000003</v>
          </cell>
          <cell r="AH9">
            <v>1121.4405222222222</v>
          </cell>
          <cell r="AI9">
            <v>935.23733791019799</v>
          </cell>
          <cell r="AJ9">
            <v>1193.5068379101976</v>
          </cell>
          <cell r="AK9">
            <v>1019.9875954975064</v>
          </cell>
          <cell r="AL9">
            <v>1247.3770828528786</v>
          </cell>
          <cell r="AM9">
            <v>891.50348140793017</v>
          </cell>
          <cell r="AN9">
            <v>1227.5820335033711</v>
          </cell>
          <cell r="AO9">
            <v>803.26734573661599</v>
          </cell>
          <cell r="AP9">
            <v>-76.766353117949734</v>
          </cell>
          <cell r="AQ9">
            <v>-135.55540350364004</v>
          </cell>
          <cell r="AR9">
            <v>131.79511202805008</v>
          </cell>
          <cell r="AS9">
            <v>-80.119037023672036</v>
          </cell>
          <cell r="AT9">
            <v>125.22465097358167</v>
          </cell>
          <cell r="AU9">
            <v>-10.047926049887792</v>
          </cell>
          <cell r="AV9">
            <v>155.36227587239364</v>
          </cell>
          <cell r="AW9">
            <v>53.450273260501262</v>
          </cell>
          <cell r="AX9">
            <v>138.76548641355976</v>
          </cell>
          <cell r="AY9">
            <v>1796.0759433784101</v>
          </cell>
          <cell r="AZ9">
            <v>2714.7513554064599</v>
          </cell>
          <cell r="BA9">
            <v>3756.0728406050107</v>
          </cell>
          <cell r="BB9">
            <v>4816.5348294887908</v>
          </cell>
          <cell r="BC9">
            <v>5999.9937413490998</v>
          </cell>
          <cell r="BD9">
            <v>7175.343612718998</v>
          </cell>
          <cell r="BE9">
            <v>8476.1709688323808</v>
          </cell>
          <cell r="BF9">
            <v>9506.4399366538692</v>
          </cell>
          <cell r="BG9">
            <v>10791.619659180531</v>
          </cell>
          <cell r="BH9">
            <v>2008.3977000000002</v>
          </cell>
          <cell r="BI9">
            <v>2795.2779999999998</v>
          </cell>
          <cell r="BJ9">
            <v>3916.7185222222224</v>
          </cell>
          <cell r="BK9">
            <v>4851.9558601324197</v>
          </cell>
          <cell r="BL9">
            <v>6045.4626980426183</v>
          </cell>
          <cell r="BM9">
            <v>7065.4502935401242</v>
          </cell>
          <cell r="BN9">
            <v>8312.8273763930047</v>
          </cell>
          <cell r="BO9">
            <v>9204.3308578009328</v>
          </cell>
          <cell r="BP9">
            <v>10431.912891304304</v>
          </cell>
          <cell r="BQ9">
            <v>-212.32175662158994</v>
          </cell>
          <cell r="BR9">
            <v>-80.526644593539771</v>
          </cell>
          <cell r="BS9">
            <v>-160.64568161721201</v>
          </cell>
          <cell r="BT9">
            <v>-35.421030643630175</v>
          </cell>
          <cell r="BU9">
            <v>-45.468956693518294</v>
          </cell>
          <cell r="BV9">
            <v>109.89331917887534</v>
          </cell>
          <cell r="BW9">
            <v>163.34359243937618</v>
          </cell>
          <cell r="BX9">
            <v>302.10907885293568</v>
          </cell>
          <cell r="BY9">
            <v>359.70676787622489</v>
          </cell>
          <cell r="BZ9">
            <v>506.79</v>
          </cell>
          <cell r="CA9">
            <v>1047.8119000000002</v>
          </cell>
          <cell r="CB9">
            <v>643.25349999999992</v>
          </cell>
          <cell r="CC9">
            <v>2714.7513554064599</v>
          </cell>
          <cell r="CD9">
            <v>2197.8553999999995</v>
          </cell>
          <cell r="CE9">
            <v>516.89595540646042</v>
          </cell>
          <cell r="CF9">
            <v>23.518196666007253</v>
          </cell>
        </row>
        <row r="10">
          <cell r="Q10">
            <v>612.18613506100019</v>
          </cell>
          <cell r="R10">
            <v>752.90155518899996</v>
          </cell>
          <cell r="S10">
            <v>709.49727737799981</v>
          </cell>
          <cell r="T10">
            <v>851.27870428699998</v>
          </cell>
          <cell r="U10">
            <v>803.17442898100001</v>
          </cell>
          <cell r="V10">
            <v>972.70713087999991</v>
          </cell>
          <cell r="W10">
            <v>690.39096822800002</v>
          </cell>
          <cell r="X10">
            <v>919.5669539930002</v>
          </cell>
          <cell r="Y10">
            <v>560.75002455699996</v>
          </cell>
          <cell r="Z10">
            <v>976.01564914280027</v>
          </cell>
          <cell r="AA10">
            <v>9152.5181370445007</v>
          </cell>
          <cell r="AB10">
            <v>8.0643945886236565</v>
          </cell>
          <cell r="AC10" t="e">
            <v>#VALUE!</v>
          </cell>
          <cell r="AD10">
            <v>8.0643945886236565</v>
          </cell>
          <cell r="AE10">
            <v>372.33579999999995</v>
          </cell>
          <cell r="AF10">
            <v>1072.5493999999999</v>
          </cell>
          <cell r="AG10">
            <v>494.41030000000001</v>
          </cell>
          <cell r="AH10">
            <v>798.19579999999996</v>
          </cell>
          <cell r="AI10">
            <v>600.26139999999998</v>
          </cell>
          <cell r="AJ10">
            <v>857.12189999999987</v>
          </cell>
          <cell r="AK10">
            <v>668.19430000000011</v>
          </cell>
          <cell r="AL10">
            <v>897.23910000000001</v>
          </cell>
          <cell r="AM10">
            <v>538.25220000000002</v>
          </cell>
          <cell r="AN10">
            <v>873.67699999999991</v>
          </cell>
          <cell r="AO10">
            <v>452.3449</v>
          </cell>
          <cell r="AP10">
            <v>-28.368856882299951</v>
          </cell>
          <cell r="AQ10">
            <v>-112.46703376999994</v>
          </cell>
          <cell r="AR10">
            <v>117.77583506100018</v>
          </cell>
          <cell r="AS10">
            <v>-45.294244810999999</v>
          </cell>
          <cell r="AT10">
            <v>109.23587737799983</v>
          </cell>
          <cell r="AU10">
            <v>-5.8431957129998864</v>
          </cell>
          <cell r="AV10">
            <v>134.98012898099989</v>
          </cell>
          <cell r="AW10">
            <v>75.468030879999901</v>
          </cell>
          <cell r="AX10">
            <v>152.138768228</v>
          </cell>
          <cell r="AY10">
            <v>1304.0493093476998</v>
          </cell>
          <cell r="AZ10">
            <v>1916.2354444087</v>
          </cell>
          <cell r="BA10">
            <v>2669.1369995977002</v>
          </cell>
          <cell r="BB10">
            <v>3378.6342769757002</v>
          </cell>
          <cell r="BC10">
            <v>4229.9129812626998</v>
          </cell>
          <cell r="BD10">
            <v>5033.0874102436992</v>
          </cell>
          <cell r="BE10">
            <v>6005.7945411236997</v>
          </cell>
          <cell r="BF10">
            <v>6696.1855093516988</v>
          </cell>
          <cell r="BG10">
            <v>7615.7524633446992</v>
          </cell>
          <cell r="BH10">
            <v>1444.8851999999999</v>
          </cell>
          <cell r="BI10">
            <v>1939.2954999999999</v>
          </cell>
          <cell r="BJ10">
            <v>2737.4913000000001</v>
          </cell>
          <cell r="BK10">
            <v>3337.7527</v>
          </cell>
          <cell r="BL10">
            <v>4194.8746000000001</v>
          </cell>
          <cell r="BM10">
            <v>4863.0689000000002</v>
          </cell>
          <cell r="BN10">
            <v>5760.3080000000009</v>
          </cell>
          <cell r="BO10">
            <v>6298.5601999999999</v>
          </cell>
          <cell r="BP10">
            <v>7172.2372000000005</v>
          </cell>
          <cell r="BQ10">
            <v>-140.83589065230001</v>
          </cell>
          <cell r="BR10">
            <v>-23.060055591299829</v>
          </cell>
          <cell r="BS10">
            <v>-68.354300402299941</v>
          </cell>
          <cell r="BT10">
            <v>40.881576975699772</v>
          </cell>
          <cell r="BU10">
            <v>35.038381262699659</v>
          </cell>
          <cell r="BV10">
            <v>170.01851024369944</v>
          </cell>
          <cell r="BW10">
            <v>245.48654112369877</v>
          </cell>
          <cell r="BX10">
            <v>397.62530935169843</v>
          </cell>
          <cell r="BY10">
            <v>443.51526334469872</v>
          </cell>
        </row>
        <row r="11">
          <cell r="F11" t="str">
            <v xml:space="preserve">  Renta </v>
          </cell>
          <cell r="L11">
            <v>4723.1066000000001</v>
          </cell>
          <cell r="N11">
            <v>4723.1066000000001</v>
          </cell>
          <cell r="O11">
            <v>243.55664311769996</v>
          </cell>
          <cell r="P11">
            <v>368.38189932499995</v>
          </cell>
          <cell r="Q11">
            <v>547.25089320100017</v>
          </cell>
          <cell r="R11">
            <v>273.53488764100001</v>
          </cell>
          <cell r="S11">
            <v>633.26266243399982</v>
          </cell>
          <cell r="T11">
            <v>407.06395279499992</v>
          </cell>
          <cell r="U11">
            <v>716.37736025599997</v>
          </cell>
          <cell r="V11">
            <v>457.37705655100001</v>
          </cell>
          <cell r="W11">
            <v>587.30996725600005</v>
          </cell>
          <cell r="X11">
            <v>336.76889635800006</v>
          </cell>
          <cell r="Y11">
            <v>371.95657846081235</v>
          </cell>
          <cell r="Z11">
            <v>121.77492272243373</v>
          </cell>
          <cell r="AA11">
            <v>5064.6157201179458</v>
          </cell>
          <cell r="AB11">
            <v>4.3888567555669642</v>
          </cell>
          <cell r="AC11" t="str">
            <v xml:space="preserve"> </v>
          </cell>
          <cell r="AD11">
            <v>4.3888567555669642</v>
          </cell>
          <cell r="AE11">
            <v>300.03099999999995</v>
          </cell>
          <cell r="AF11">
            <v>412.96669999999995</v>
          </cell>
          <cell r="AG11">
            <v>411.47919999999999</v>
          </cell>
          <cell r="AH11">
            <v>256.96799999999996</v>
          </cell>
          <cell r="AI11">
            <v>517.72820000000002</v>
          </cell>
          <cell r="AJ11">
            <v>367.72089999999997</v>
          </cell>
          <cell r="AK11">
            <v>564.85660000000007</v>
          </cell>
          <cell r="AL11">
            <v>375.6336</v>
          </cell>
          <cell r="AM11">
            <v>444.8304</v>
          </cell>
          <cell r="AN11">
            <v>283.6225</v>
          </cell>
          <cell r="AO11">
            <v>353.4796</v>
          </cell>
          <cell r="AP11">
            <v>-56.474356882299986</v>
          </cell>
          <cell r="AQ11">
            <v>-44.584800674999997</v>
          </cell>
          <cell r="AR11">
            <v>135.77169320100018</v>
          </cell>
          <cell r="AS11">
            <v>16.566887641000051</v>
          </cell>
          <cell r="AT11">
            <v>115.53446243399981</v>
          </cell>
          <cell r="AU11">
            <v>39.343052794999949</v>
          </cell>
          <cell r="AV11">
            <v>151.5207602559999</v>
          </cell>
          <cell r="AW11">
            <v>81.743456551000008</v>
          </cell>
          <cell r="AX11">
            <v>142.47956725600005</v>
          </cell>
          <cell r="AY11">
            <v>611.93854244269994</v>
          </cell>
          <cell r="AZ11">
            <v>1159.1894356437001</v>
          </cell>
          <cell r="BA11">
            <v>1432.7243232847002</v>
          </cell>
          <cell r="BB11">
            <v>2065.9869857187</v>
          </cell>
          <cell r="BC11">
            <v>2473.0509385136997</v>
          </cell>
          <cell r="BD11">
            <v>3189.4282987696997</v>
          </cell>
          <cell r="BE11">
            <v>3646.8053553206996</v>
          </cell>
          <cell r="BF11">
            <v>4234.1153225766993</v>
          </cell>
          <cell r="BG11">
            <v>4570.8842189346997</v>
          </cell>
          <cell r="BH11">
            <v>712.9976999999999</v>
          </cell>
          <cell r="BI11">
            <v>1124.4768999999999</v>
          </cell>
          <cell r="BJ11">
            <v>1381.4449</v>
          </cell>
          <cell r="BK11">
            <v>1899.1731</v>
          </cell>
          <cell r="BL11">
            <v>2266.8939999999998</v>
          </cell>
          <cell r="BM11">
            <v>2831.7505999999998</v>
          </cell>
          <cell r="BN11">
            <v>3207.3842</v>
          </cell>
          <cell r="BO11">
            <v>3652.2145999999998</v>
          </cell>
          <cell r="BP11">
            <v>3935.8370999999997</v>
          </cell>
          <cell r="BQ11">
            <v>-101.05915755729995</v>
          </cell>
          <cell r="BR11">
            <v>34.712535643700221</v>
          </cell>
          <cell r="BS11">
            <v>51.279423284700215</v>
          </cell>
          <cell r="BT11">
            <v>166.81388571870002</v>
          </cell>
          <cell r="BU11">
            <v>206.15693851369997</v>
          </cell>
          <cell r="BV11">
            <v>357.67769876969987</v>
          </cell>
          <cell r="BW11">
            <v>439.42115532069965</v>
          </cell>
          <cell r="BX11">
            <v>581.90072257669954</v>
          </cell>
          <cell r="BY11">
            <v>635.04711893469994</v>
          </cell>
          <cell r="BZ11">
            <v>234.09999999999997</v>
          </cell>
          <cell r="CA11">
            <v>321.39999999999998</v>
          </cell>
          <cell r="CB11">
            <v>335.89999999999992</v>
          </cell>
          <cell r="CC11">
            <v>1159.1894356437001</v>
          </cell>
          <cell r="CD11">
            <v>891.39999999999986</v>
          </cell>
          <cell r="CE11">
            <v>267.78943564370024</v>
          </cell>
          <cell r="CF11">
            <v>30.041444429403221</v>
          </cell>
        </row>
        <row r="12">
          <cell r="F12" t="str">
            <v xml:space="preserve">  Ventas Internas</v>
          </cell>
          <cell r="L12">
            <v>3955.4621999999999</v>
          </cell>
          <cell r="N12">
            <v>3955.4621999999999</v>
          </cell>
          <cell r="O12">
            <v>100.41030000000001</v>
          </cell>
          <cell r="P12">
            <v>591.70046690499998</v>
          </cell>
          <cell r="Q12">
            <v>64.935241859999991</v>
          </cell>
          <cell r="R12">
            <v>479.36666754800001</v>
          </cell>
          <cell r="S12">
            <v>76.234614944000015</v>
          </cell>
          <cell r="T12">
            <v>444.214751492</v>
          </cell>
          <cell r="U12">
            <v>86.797068725000017</v>
          </cell>
          <cell r="V12">
            <v>515.3300743289999</v>
          </cell>
          <cell r="W12">
            <v>103.08100097199998</v>
          </cell>
          <cell r="X12">
            <v>582.79805763500019</v>
          </cell>
          <cell r="Y12">
            <v>188.79344609618767</v>
          </cell>
          <cell r="Z12">
            <v>854.24072642036651</v>
          </cell>
          <cell r="AA12">
            <v>4087.902416926554</v>
          </cell>
          <cell r="AB12">
            <v>3.6755378330566932</v>
          </cell>
          <cell r="AC12" t="str">
            <v xml:space="preserve"> </v>
          </cell>
          <cell r="AD12">
            <v>3.6755378330566932</v>
          </cell>
          <cell r="AE12">
            <v>72.3048</v>
          </cell>
          <cell r="AF12">
            <v>659.58270000000005</v>
          </cell>
          <cell r="AG12">
            <v>82.931100000000001</v>
          </cell>
          <cell r="AH12">
            <v>541.2278</v>
          </cell>
          <cell r="AI12">
            <v>82.533199999999994</v>
          </cell>
          <cell r="AJ12">
            <v>489.40099999999995</v>
          </cell>
          <cell r="AK12">
            <v>103.3377</v>
          </cell>
          <cell r="AL12">
            <v>521.60550000000001</v>
          </cell>
          <cell r="AM12">
            <v>93.421800000000005</v>
          </cell>
          <cell r="AN12">
            <v>590.05449999999996</v>
          </cell>
          <cell r="AO12">
            <v>98.865300000000005</v>
          </cell>
          <cell r="AP12">
            <v>28.105500000000006</v>
          </cell>
          <cell r="AQ12">
            <v>-67.882233095000061</v>
          </cell>
          <cell r="AR12">
            <v>-17.99585814000001</v>
          </cell>
          <cell r="AS12">
            <v>-61.861132451999993</v>
          </cell>
          <cell r="AT12">
            <v>-6.298585055999979</v>
          </cell>
          <cell r="AU12">
            <v>-45.186248507999949</v>
          </cell>
          <cell r="AV12">
            <v>-16.540631274999981</v>
          </cell>
          <cell r="AW12">
            <v>-6.2754256710001073</v>
          </cell>
          <cell r="AX12">
            <v>9.6592009719999794</v>
          </cell>
          <cell r="AY12">
            <v>692.11076690499999</v>
          </cell>
          <cell r="AZ12">
            <v>757.04600876500001</v>
          </cell>
          <cell r="BA12">
            <v>1236.412676313</v>
          </cell>
          <cell r="BB12">
            <v>1312.647291257</v>
          </cell>
          <cell r="BC12">
            <v>1756.862042749</v>
          </cell>
          <cell r="BD12">
            <v>1843.6591114739999</v>
          </cell>
          <cell r="BE12">
            <v>2358.9891858029996</v>
          </cell>
          <cell r="BF12">
            <v>2462.0701867749995</v>
          </cell>
          <cell r="BG12">
            <v>3044.8682444099995</v>
          </cell>
          <cell r="BH12">
            <v>731.88750000000005</v>
          </cell>
          <cell r="BI12">
            <v>814.81860000000006</v>
          </cell>
          <cell r="BJ12">
            <v>1356.0464000000002</v>
          </cell>
          <cell r="BK12">
            <v>1438.5796000000003</v>
          </cell>
          <cell r="BL12">
            <v>1927.9806000000003</v>
          </cell>
          <cell r="BM12">
            <v>2031.3183000000004</v>
          </cell>
          <cell r="BN12">
            <v>2552.9238000000005</v>
          </cell>
          <cell r="BO12">
            <v>2646.3456000000006</v>
          </cell>
          <cell r="BP12">
            <v>3236.4001000000007</v>
          </cell>
          <cell r="BQ12">
            <v>-39.776733095000054</v>
          </cell>
          <cell r="BR12">
            <v>-57.77259123500005</v>
          </cell>
          <cell r="BS12">
            <v>-119.63372368700016</v>
          </cell>
          <cell r="BT12">
            <v>-125.93230874300025</v>
          </cell>
          <cell r="BU12">
            <v>-171.11855725100031</v>
          </cell>
          <cell r="BV12">
            <v>-187.65918852600043</v>
          </cell>
          <cell r="BW12">
            <v>-193.93461419700088</v>
          </cell>
          <cell r="BX12">
            <v>-184.2754132250011</v>
          </cell>
          <cell r="BY12">
            <v>-191.53185559000121</v>
          </cell>
          <cell r="BZ12">
            <v>18.399999999999999</v>
          </cell>
          <cell r="CA12">
            <v>475.8</v>
          </cell>
          <cell r="CB12">
            <v>68.699999999999989</v>
          </cell>
          <cell r="CC12">
            <v>757.04600876500001</v>
          </cell>
          <cell r="CD12">
            <v>562.9</v>
          </cell>
          <cell r="CE12">
            <v>194.14600876500003</v>
          </cell>
          <cell r="CF12">
            <v>34.490319553206604</v>
          </cell>
        </row>
        <row r="13">
          <cell r="L13">
            <v>1083.5878093612414</v>
          </cell>
          <cell r="N13">
            <v>1083.5878093612414</v>
          </cell>
          <cell r="Q13">
            <v>87.581100000000021</v>
          </cell>
          <cell r="R13">
            <v>75.481886342485012</v>
          </cell>
          <cell r="S13">
            <v>100.79985627792065</v>
          </cell>
          <cell r="T13">
            <v>96.822372804126232</v>
          </cell>
          <cell r="U13">
            <v>119.95336933611877</v>
          </cell>
          <cell r="V13">
            <v>106.80132008960814</v>
          </cell>
          <cell r="W13">
            <v>121.30396975051718</v>
          </cell>
          <cell r="X13">
            <v>123.15117546677656</v>
          </cell>
          <cell r="Y13">
            <v>120.73640728030996</v>
          </cell>
          <cell r="Z13">
            <v>131.96731670782302</v>
          </cell>
          <cell r="AA13">
            <v>1221.3033438096857</v>
          </cell>
          <cell r="AB13">
            <v>1.0069033117662627</v>
          </cell>
          <cell r="AC13" t="str">
            <v xml:space="preserve"> </v>
          </cell>
          <cell r="AD13">
            <v>1.0069033117662627</v>
          </cell>
          <cell r="AE13">
            <v>79.530992176990523</v>
          </cell>
          <cell r="AF13">
            <v>79.5</v>
          </cell>
          <cell r="AG13">
            <v>79.5</v>
          </cell>
          <cell r="AH13">
            <v>86.8</v>
          </cell>
          <cell r="AI13">
            <v>90.4</v>
          </cell>
          <cell r="AJ13">
            <v>90.4</v>
          </cell>
          <cell r="AK13">
            <v>96.6</v>
          </cell>
          <cell r="AL13">
            <v>96.7</v>
          </cell>
          <cell r="AM13">
            <v>96.7</v>
          </cell>
          <cell r="AN13">
            <v>96.7</v>
          </cell>
          <cell r="AO13">
            <v>96.7</v>
          </cell>
          <cell r="AP13">
            <v>-17.211794713990507</v>
          </cell>
          <cell r="AQ13">
            <v>-5.1146277089999614</v>
          </cell>
          <cell r="AR13">
            <v>8.0811000000000206</v>
          </cell>
          <cell r="AS13">
            <v>-11.318113657514985</v>
          </cell>
          <cell r="AT13">
            <v>10.399856277920648</v>
          </cell>
          <cell r="AU13">
            <v>6.4223728041262262</v>
          </cell>
          <cell r="AV13">
            <v>23.353369336118774</v>
          </cell>
          <cell r="AW13">
            <v>10.101320089608137</v>
          </cell>
          <cell r="AX13">
            <v>24.60396975051718</v>
          </cell>
          <cell r="AY13">
            <v>136.70456975400006</v>
          </cell>
          <cell r="AZ13">
            <v>224.28566975400008</v>
          </cell>
          <cell r="BA13">
            <v>299.76755609648512</v>
          </cell>
          <cell r="BB13">
            <v>400.56741237440576</v>
          </cell>
          <cell r="BC13">
            <v>497.38978517853201</v>
          </cell>
          <cell r="BD13">
            <v>617.34315451465079</v>
          </cell>
          <cell r="BE13">
            <v>724.1444746042589</v>
          </cell>
          <cell r="BF13">
            <v>845.44844435477603</v>
          </cell>
          <cell r="BG13">
            <v>968.59961982155255</v>
          </cell>
          <cell r="BH13">
            <v>159.03099217699054</v>
          </cell>
          <cell r="BI13">
            <v>238.53099217699054</v>
          </cell>
          <cell r="BJ13">
            <v>325.33099217699055</v>
          </cell>
          <cell r="BK13">
            <v>415.73099217699053</v>
          </cell>
          <cell r="BL13">
            <v>506.1309921769905</v>
          </cell>
          <cell r="BM13">
            <v>602.73099217699053</v>
          </cell>
          <cell r="BN13">
            <v>699.43099217699057</v>
          </cell>
          <cell r="BO13">
            <v>796.13099217699062</v>
          </cell>
          <cell r="BP13">
            <v>892.83099217699066</v>
          </cell>
          <cell r="BQ13">
            <v>-22.326422422990476</v>
          </cell>
          <cell r="BR13">
            <v>-14.245322422990455</v>
          </cell>
          <cell r="BS13">
            <v>-25.563436080505426</v>
          </cell>
          <cell r="BT13">
            <v>-15.163579802584763</v>
          </cell>
          <cell r="BU13">
            <v>-8.7412069984584946</v>
          </cell>
          <cell r="BV13">
            <v>14.612162337660266</v>
          </cell>
          <cell r="BW13">
            <v>24.713482427268332</v>
          </cell>
          <cell r="BX13">
            <v>49.317452177785412</v>
          </cell>
          <cell r="BY13">
            <v>75.768627644561889</v>
          </cell>
          <cell r="BZ13">
            <v>80.599999999999994</v>
          </cell>
          <cell r="CA13">
            <v>71.549000000000007</v>
          </cell>
          <cell r="CB13">
            <v>69.2</v>
          </cell>
          <cell r="CC13">
            <v>224.28566975400008</v>
          </cell>
          <cell r="CD13">
            <v>221.34899999999999</v>
          </cell>
          <cell r="CE13">
            <v>2.9366697540000928</v>
          </cell>
          <cell r="CF13">
            <v>1.3267147147717484</v>
          </cell>
        </row>
        <row r="14">
          <cell r="L14">
            <v>1889.9795039928199</v>
          </cell>
          <cell r="N14">
            <v>1889.9795039928199</v>
          </cell>
          <cell r="Q14">
            <v>142.834725642</v>
          </cell>
          <cell r="R14">
            <v>133.22379018051501</v>
          </cell>
          <cell r="S14">
            <v>177.96080820747937</v>
          </cell>
          <cell r="T14">
            <v>166.10573600583371</v>
          </cell>
          <cell r="U14">
            <v>189.71520713288123</v>
          </cell>
          <cell r="V14">
            <v>168.94491869539186</v>
          </cell>
          <cell r="W14">
            <v>177.70895279163273</v>
          </cell>
          <cell r="X14">
            <v>194.80812886039345</v>
          </cell>
          <cell r="Y14">
            <v>187.32168090269005</v>
          </cell>
          <cell r="Z14">
            <v>208.75756498844049</v>
          </cell>
          <cell r="AA14">
            <v>1975.8815134072579</v>
          </cell>
          <cell r="AB14">
            <v>1.7562274190427944</v>
          </cell>
          <cell r="AC14" t="str">
            <v xml:space="preserve"> </v>
          </cell>
          <cell r="AD14">
            <v>1.7562274190427944</v>
          </cell>
          <cell r="AE14">
            <v>140.46900782300949</v>
          </cell>
          <cell r="AF14">
            <v>140.5</v>
          </cell>
          <cell r="AG14">
            <v>140.5</v>
          </cell>
          <cell r="AH14">
            <v>153.19999999999999</v>
          </cell>
          <cell r="AI14">
            <v>159.6</v>
          </cell>
          <cell r="AJ14">
            <v>159.6</v>
          </cell>
          <cell r="AK14">
            <v>170.6</v>
          </cell>
          <cell r="AL14">
            <v>170.8</v>
          </cell>
          <cell r="AM14">
            <v>170.8</v>
          </cell>
          <cell r="AN14">
            <v>170.8</v>
          </cell>
          <cell r="AO14">
            <v>170.8</v>
          </cell>
          <cell r="AP14">
            <v>-27.369007823009511</v>
          </cell>
          <cell r="AQ14">
            <v>-25.100000000000065</v>
          </cell>
          <cell r="AR14">
            <v>2.3347256419999951</v>
          </cell>
          <cell r="AS14">
            <v>-19.976209819484978</v>
          </cell>
          <cell r="AT14">
            <v>18.36080820747938</v>
          </cell>
          <cell r="AU14">
            <v>6.505736005833711</v>
          </cell>
          <cell r="AV14">
            <v>19.115207132881238</v>
          </cell>
          <cell r="AW14">
            <v>-1.8550813046081487</v>
          </cell>
          <cell r="AX14">
            <v>6.9089527916327143</v>
          </cell>
          <cell r="AY14">
            <v>228.49999999999991</v>
          </cell>
          <cell r="AZ14">
            <v>371.33472564199991</v>
          </cell>
          <cell r="BA14">
            <v>504.55851582251489</v>
          </cell>
          <cell r="BB14">
            <v>682.51932402999432</v>
          </cell>
          <cell r="BC14">
            <v>848.62506003582803</v>
          </cell>
          <cell r="BD14">
            <v>1038.3402671687093</v>
          </cell>
          <cell r="BE14">
            <v>1207.2851858641011</v>
          </cell>
          <cell r="BF14">
            <v>1384.9941386557339</v>
          </cell>
          <cell r="BG14">
            <v>1579.8022675161274</v>
          </cell>
          <cell r="BH14">
            <v>280.96900782300952</v>
          </cell>
          <cell r="BI14">
            <v>421.46900782300952</v>
          </cell>
          <cell r="BJ14">
            <v>574.66900782300945</v>
          </cell>
          <cell r="BK14">
            <v>734.26900782300947</v>
          </cell>
          <cell r="BL14">
            <v>893.8690078230095</v>
          </cell>
          <cell r="BM14">
            <v>1064.4690078230094</v>
          </cell>
          <cell r="BN14">
            <v>1235.2690078230094</v>
          </cell>
          <cell r="BO14">
            <v>1406.0690078230093</v>
          </cell>
          <cell r="BP14">
            <v>1576.8690078230093</v>
          </cell>
          <cell r="BQ14">
            <v>-52.469007823009605</v>
          </cell>
          <cell r="BR14">
            <v>-50.13428218100961</v>
          </cell>
          <cell r="BS14">
            <v>-70.11049200049456</v>
          </cell>
          <cell r="BT14">
            <v>-51.749683793015151</v>
          </cell>
          <cell r="BU14">
            <v>-45.243947787181469</v>
          </cell>
          <cell r="BV14">
            <v>-26.128740654300145</v>
          </cell>
          <cell r="BW14">
            <v>-27.983821958908266</v>
          </cell>
          <cell r="BX14">
            <v>-21.074869167275438</v>
          </cell>
          <cell r="BY14">
            <v>2.9332596931180888</v>
          </cell>
          <cell r="BZ14">
            <v>124.9</v>
          </cell>
          <cell r="CA14">
            <v>127.649</v>
          </cell>
          <cell r="CB14">
            <v>125.8</v>
          </cell>
          <cell r="CC14">
            <v>371.33472564199991</v>
          </cell>
          <cell r="CD14">
            <v>378.34899999999999</v>
          </cell>
          <cell r="CE14">
            <v>-7.0142743580000797</v>
          </cell>
          <cell r="CF14">
            <v>-1.8539164522702767</v>
          </cell>
        </row>
        <row r="15">
          <cell r="L15">
            <v>790.43349999999998</v>
          </cell>
          <cell r="N15">
            <v>790.43349999999998</v>
          </cell>
          <cell r="Q15">
            <v>48.755678719580004</v>
          </cell>
          <cell r="R15">
            <v>61.927547688800004</v>
          </cell>
          <cell r="S15">
            <v>56.177978153059996</v>
          </cell>
          <cell r="T15">
            <v>65.378911245259999</v>
          </cell>
          <cell r="U15">
            <v>60.214436816019997</v>
          </cell>
          <cell r="V15">
            <v>49.163226856559994</v>
          </cell>
          <cell r="W15">
            <v>38.87063087264</v>
          </cell>
          <cell r="X15">
            <v>45.708496023000002</v>
          </cell>
          <cell r="Y15">
            <v>45.870645472</v>
          </cell>
          <cell r="Z15">
            <v>50.682198984188432</v>
          </cell>
          <cell r="AA15">
            <v>634.42619069857847</v>
          </cell>
          <cell r="AB15">
            <v>0.73449525917993053</v>
          </cell>
          <cell r="AC15" t="str">
            <v xml:space="preserve"> </v>
          </cell>
          <cell r="AD15">
            <v>0.73449525917993053</v>
          </cell>
          <cell r="AE15">
            <v>60.442500000000003</v>
          </cell>
          <cell r="AF15">
            <v>60.4</v>
          </cell>
          <cell r="AG15">
            <v>60.4</v>
          </cell>
          <cell r="AH15">
            <v>67.674722222222201</v>
          </cell>
          <cell r="AI15">
            <v>68.014937910197958</v>
          </cell>
          <cell r="AJ15">
            <v>68.014937910197958</v>
          </cell>
          <cell r="AK15">
            <v>67.71493791019796</v>
          </cell>
          <cell r="AL15">
            <v>67.989937910197952</v>
          </cell>
          <cell r="AM15">
            <v>67.989937910197952</v>
          </cell>
          <cell r="AN15">
            <v>67.989937910197952</v>
          </cell>
          <cell r="AO15">
            <v>67.989937910197952</v>
          </cell>
          <cell r="AP15">
            <v>-4.2526461975098897</v>
          </cell>
          <cell r="AQ15">
            <v>-4.913413935020003</v>
          </cell>
          <cell r="AR15">
            <v>-11.644321280419994</v>
          </cell>
          <cell r="AS15">
            <v>-5.7471745334221964</v>
          </cell>
          <cell r="AT15">
            <v>-11.836959757137961</v>
          </cell>
          <cell r="AU15">
            <v>-2.6360266649379582</v>
          </cell>
          <cell r="AV15">
            <v>-7.5005010941779631</v>
          </cell>
          <cell r="AW15">
            <v>-18.826711053637958</v>
          </cell>
          <cell r="AX15">
            <v>-29.119307037557952</v>
          </cell>
          <cell r="AY15">
            <v>111.67643986747011</v>
          </cell>
          <cell r="AZ15">
            <v>160.43211858705013</v>
          </cell>
          <cell r="BA15">
            <v>222.35966627585015</v>
          </cell>
          <cell r="BB15">
            <v>278.53764442891014</v>
          </cell>
          <cell r="BC15">
            <v>343.91655567417013</v>
          </cell>
          <cell r="BD15">
            <v>404.13099249019012</v>
          </cell>
          <cell r="BE15">
            <v>453.29421934675014</v>
          </cell>
          <cell r="BF15">
            <v>492.16485021939013</v>
          </cell>
          <cell r="BG15">
            <v>537.87334624239008</v>
          </cell>
          <cell r="BH15">
            <v>120.8425</v>
          </cell>
          <cell r="BI15">
            <v>181.24250000000001</v>
          </cell>
          <cell r="BJ15">
            <v>248.91722222222222</v>
          </cell>
          <cell r="BK15">
            <v>316.93216013242017</v>
          </cell>
          <cell r="BL15">
            <v>384.94709804261811</v>
          </cell>
          <cell r="BM15">
            <v>452.66203595281604</v>
          </cell>
          <cell r="BN15">
            <v>520.65197386301395</v>
          </cell>
          <cell r="BO15">
            <v>588.64191177321186</v>
          </cell>
          <cell r="BP15">
            <v>656.63184968340977</v>
          </cell>
          <cell r="BQ15">
            <v>-9.1660601325298927</v>
          </cell>
          <cell r="BR15">
            <v>-20.81038141294988</v>
          </cell>
          <cell r="BS15">
            <v>-26.557555946372077</v>
          </cell>
          <cell r="BT15">
            <v>-38.394515703510024</v>
          </cell>
          <cell r="BU15">
            <v>-41.030542368447982</v>
          </cell>
          <cell r="BV15">
            <v>-48.531043462625917</v>
          </cell>
          <cell r="BW15">
            <v>-67.35775451626381</v>
          </cell>
          <cell r="BX15">
            <v>-96.477061553821727</v>
          </cell>
          <cell r="BY15">
            <v>-118.75850344101968</v>
          </cell>
          <cell r="BZ15">
            <v>47.09</v>
          </cell>
          <cell r="CA15">
            <v>49.25</v>
          </cell>
          <cell r="CB15">
            <v>42.348999999999997</v>
          </cell>
          <cell r="CC15">
            <v>160.43211858705013</v>
          </cell>
          <cell r="CD15">
            <v>138.68899999999999</v>
          </cell>
          <cell r="CE15">
            <v>21.743118587050134</v>
          </cell>
          <cell r="CF15">
            <v>15.677608596968851</v>
          </cell>
        </row>
        <row r="16">
          <cell r="L16">
            <v>17.53</v>
          </cell>
          <cell r="N16">
            <v>17.53</v>
          </cell>
          <cell r="Q16">
            <v>1.0177726054700003</v>
          </cell>
          <cell r="R16">
            <v>1.2982629337499993</v>
          </cell>
          <cell r="S16">
            <v>1.6454882013199992</v>
          </cell>
          <cell r="T16">
            <v>1.2337663840899999</v>
          </cell>
          <cell r="U16">
            <v>1.6918586908800002</v>
          </cell>
          <cell r="V16">
            <v>2.1747027288200016</v>
          </cell>
          <cell r="W16">
            <v>1.6216783936999981</v>
          </cell>
          <cell r="X16">
            <v>1.5270022994900003</v>
          </cell>
          <cell r="Y16">
            <v>1.519413526719994</v>
          </cell>
          <cell r="Z16">
            <v>-3.3399999999872421E-4</v>
          </cell>
          <cell r="AA16">
            <v>17.118780173479994</v>
          </cell>
          <cell r="AB16">
            <v>1.6289418266589386E-2</v>
          </cell>
          <cell r="AC16" t="str">
            <v xml:space="preserve"> </v>
          </cell>
          <cell r="AD16">
            <v>1.6289418266589386E-2</v>
          </cell>
          <cell r="AE16">
            <v>1</v>
          </cell>
          <cell r="AF16">
            <v>1.67</v>
          </cell>
          <cell r="AG16">
            <v>12.07</v>
          </cell>
          <cell r="AH16">
            <v>15.57</v>
          </cell>
          <cell r="AI16">
            <v>16.960999999999999</v>
          </cell>
          <cell r="AJ16">
            <v>18.37</v>
          </cell>
          <cell r="AK16">
            <v>16.878357587308294</v>
          </cell>
          <cell r="AL16">
            <v>14.648044942680542</v>
          </cell>
          <cell r="AM16">
            <v>17.761343497732124</v>
          </cell>
          <cell r="AN16">
            <v>18.415095593173149</v>
          </cell>
          <cell r="AO16">
            <v>15.432507826418014</v>
          </cell>
          <cell r="AP16">
            <v>0.43595249885999721</v>
          </cell>
          <cell r="AQ16">
            <v>0.28321591038000271</v>
          </cell>
          <cell r="AR16">
            <v>-11.05222739453</v>
          </cell>
          <cell r="AS16">
            <v>-14.271737066250001</v>
          </cell>
          <cell r="AT16">
            <v>-15.315511798679999</v>
          </cell>
          <cell r="AU16">
            <v>-17.136233615910001</v>
          </cell>
          <cell r="AV16">
            <v>-15.186498896428294</v>
          </cell>
          <cell r="AW16">
            <v>-12.473342213860541</v>
          </cell>
          <cell r="AX16">
            <v>-16.139665104032126</v>
          </cell>
          <cell r="AY16">
            <v>3.3891684092399998</v>
          </cell>
          <cell r="AZ16">
            <v>4.4069410147100001</v>
          </cell>
          <cell r="BA16">
            <v>5.7052039484599995</v>
          </cell>
          <cell r="BB16">
            <v>7.3506921497799986</v>
          </cell>
          <cell r="BC16">
            <v>8.5844585338699986</v>
          </cell>
          <cell r="BD16">
            <v>10.276317224749999</v>
          </cell>
          <cell r="BE16">
            <v>12.45101995357</v>
          </cell>
          <cell r="BF16">
            <v>14.072698347269998</v>
          </cell>
          <cell r="BG16">
            <v>15.599700646759999</v>
          </cell>
          <cell r="BH16">
            <v>2.67</v>
          </cell>
          <cell r="BI16">
            <v>14.74</v>
          </cell>
          <cell r="BJ16">
            <v>30.310000000000002</v>
          </cell>
          <cell r="BK16">
            <v>47.271000000000001</v>
          </cell>
          <cell r="BL16">
            <v>65.641000000000005</v>
          </cell>
          <cell r="BM16">
            <v>82.519357587308292</v>
          </cell>
          <cell r="BN16">
            <v>97.167402529988834</v>
          </cell>
          <cell r="BO16">
            <v>114.92874602772096</v>
          </cell>
          <cell r="BP16">
            <v>133.34384162089412</v>
          </cell>
          <cell r="BQ16">
            <v>0.71916840923999992</v>
          </cell>
          <cell r="BR16">
            <v>-10.33305898529</v>
          </cell>
          <cell r="BS16">
            <v>-24.604796051540003</v>
          </cell>
          <cell r="BT16">
            <v>-39.920307850219999</v>
          </cell>
          <cell r="BU16">
            <v>-57.056541466130007</v>
          </cell>
          <cell r="BV16">
            <v>-72.24304036255829</v>
          </cell>
          <cell r="BW16">
            <v>-84.716382576418837</v>
          </cell>
          <cell r="BX16">
            <v>-100.85604768045096</v>
          </cell>
          <cell r="BY16">
            <v>-117.74414097413413</v>
          </cell>
          <cell r="BZ16">
            <v>1.7</v>
          </cell>
          <cell r="CA16">
            <v>2.1638999999999999</v>
          </cell>
          <cell r="CB16">
            <v>1.3045</v>
          </cell>
          <cell r="CC16">
            <v>4.4069410147100001</v>
          </cell>
          <cell r="CD16">
            <v>5.1684000000000001</v>
          </cell>
          <cell r="CE16">
            <v>-0.76145898529</v>
          </cell>
          <cell r="CF16">
            <v>-14.732973169452823</v>
          </cell>
        </row>
        <row r="17">
          <cell r="L17">
            <v>36</v>
          </cell>
          <cell r="M17">
            <v>0</v>
          </cell>
          <cell r="N17">
            <v>36</v>
          </cell>
          <cell r="Q17">
            <v>26.3</v>
          </cell>
          <cell r="R17">
            <v>16.488442864</v>
          </cell>
          <cell r="S17">
            <v>14.380580665999998</v>
          </cell>
          <cell r="T17">
            <v>2.6394211340000004</v>
          </cell>
          <cell r="U17">
            <v>0.60057041300000003</v>
          </cell>
          <cell r="V17">
            <v>1.036056863</v>
          </cell>
          <cell r="W17">
            <v>0.37276778499999996</v>
          </cell>
          <cell r="X17">
            <v>0.41796588399999995</v>
          </cell>
          <cell r="Y17">
            <v>0.37255316999999993</v>
          </cell>
          <cell r="Z17">
            <v>0</v>
          </cell>
          <cell r="AA17">
            <v>74.364814778999985</v>
          </cell>
          <cell r="AB17">
            <v>3.3452313610793948E-2</v>
          </cell>
          <cell r="AC17">
            <v>0</v>
          </cell>
          <cell r="AD17">
            <v>3.3452313610793948E-2</v>
          </cell>
          <cell r="AE17">
            <v>0</v>
          </cell>
          <cell r="AF17">
            <v>0</v>
          </cell>
          <cell r="AG17">
            <v>0</v>
          </cell>
          <cell r="AH17">
            <v>0</v>
          </cell>
          <cell r="AI17">
            <v>0</v>
          </cell>
          <cell r="AJ17">
            <v>0</v>
          </cell>
          <cell r="AK17">
            <v>0</v>
          </cell>
          <cell r="AL17">
            <v>0</v>
          </cell>
          <cell r="AM17">
            <v>0</v>
          </cell>
          <cell r="AN17">
            <v>0</v>
          </cell>
          <cell r="AO17">
            <v>0</v>
          </cell>
          <cell r="AP17">
            <v>0</v>
          </cell>
          <cell r="AQ17">
            <v>11.756456</v>
          </cell>
          <cell r="AR17">
            <v>26.3</v>
          </cell>
          <cell r="AS17">
            <v>16.488442864</v>
          </cell>
          <cell r="AT17">
            <v>14.380580665999998</v>
          </cell>
          <cell r="AU17">
            <v>2.6394211340000004</v>
          </cell>
          <cell r="AV17">
            <v>0.60057041300000003</v>
          </cell>
          <cell r="AW17">
            <v>1.036056863</v>
          </cell>
          <cell r="AX17">
            <v>0.37276778499999996</v>
          </cell>
          <cell r="AY17">
            <v>11.756456</v>
          </cell>
          <cell r="AZ17">
            <v>38.056455999999997</v>
          </cell>
          <cell r="BA17">
            <v>54.544898863999997</v>
          </cell>
          <cell r="BB17">
            <v>68.92547952999999</v>
          </cell>
          <cell r="BC17">
            <v>71.564900663999993</v>
          </cell>
          <cell r="BD17">
            <v>72.165471076999992</v>
          </cell>
          <cell r="BE17">
            <v>73.201527939999991</v>
          </cell>
          <cell r="BF17">
            <v>73.574295724999985</v>
          </cell>
          <cell r="BG17">
            <v>73.992261608999982</v>
          </cell>
          <cell r="BH17">
            <v>0</v>
          </cell>
          <cell r="BI17">
            <v>0</v>
          </cell>
          <cell r="BJ17">
            <v>0</v>
          </cell>
          <cell r="BK17">
            <v>0</v>
          </cell>
          <cell r="BL17">
            <v>0</v>
          </cell>
          <cell r="BM17">
            <v>0</v>
          </cell>
          <cell r="BN17">
            <v>0</v>
          </cell>
          <cell r="BO17">
            <v>0</v>
          </cell>
          <cell r="BP17">
            <v>0</v>
          </cell>
          <cell r="BQ17">
            <v>11.756456</v>
          </cell>
          <cell r="BR17">
            <v>38.056455999999997</v>
          </cell>
          <cell r="BS17">
            <v>54.544898863999997</v>
          </cell>
          <cell r="BT17">
            <v>68.92547952999999</v>
          </cell>
          <cell r="BU17">
            <v>71.564900663999993</v>
          </cell>
          <cell r="BV17">
            <v>72.165471076999992</v>
          </cell>
          <cell r="BW17">
            <v>73.201527939999991</v>
          </cell>
          <cell r="BX17">
            <v>73.574295724999985</v>
          </cell>
          <cell r="BY17">
            <v>73.992261608999982</v>
          </cell>
          <cell r="BZ17">
            <v>0</v>
          </cell>
          <cell r="CA17">
            <v>0</v>
          </cell>
          <cell r="CB17">
            <v>0</v>
          </cell>
          <cell r="CC17">
            <v>38.056455999999997</v>
          </cell>
          <cell r="CD17">
            <v>0</v>
          </cell>
          <cell r="CE17">
            <v>38.056455999999997</v>
          </cell>
          <cell r="CF17" t="str">
            <v xml:space="preserve">n.a. </v>
          </cell>
        </row>
        <row r="18">
          <cell r="L18">
            <v>36</v>
          </cell>
          <cell r="M18">
            <v>0</v>
          </cell>
          <cell r="N18">
            <v>36</v>
          </cell>
          <cell r="Q18">
            <v>26.3</v>
          </cell>
          <cell r="R18">
            <v>16.488442864</v>
          </cell>
          <cell r="S18">
            <v>14.380580665999998</v>
          </cell>
          <cell r="T18">
            <v>2.6394211340000004</v>
          </cell>
          <cell r="U18">
            <v>0.60057041300000003</v>
          </cell>
          <cell r="V18">
            <v>1.036056863</v>
          </cell>
          <cell r="W18">
            <v>0.37276778499999996</v>
          </cell>
          <cell r="X18">
            <v>0.41796588399999995</v>
          </cell>
          <cell r="Y18">
            <v>0.37255316999999993</v>
          </cell>
          <cell r="Z18">
            <v>0</v>
          </cell>
          <cell r="AA18">
            <v>74.364814778999985</v>
          </cell>
          <cell r="AB18">
            <v>3.3452313610793948E-2</v>
          </cell>
          <cell r="AC18" t="str">
            <v xml:space="preserve"> </v>
          </cell>
          <cell r="AD18">
            <v>3.3452313610793948E-2</v>
          </cell>
          <cell r="AE18">
            <v>0</v>
          </cell>
          <cell r="AF18">
            <v>0</v>
          </cell>
          <cell r="AG18">
            <v>0</v>
          </cell>
          <cell r="AH18">
            <v>0</v>
          </cell>
          <cell r="AI18">
            <v>0</v>
          </cell>
          <cell r="AJ18">
            <v>0</v>
          </cell>
          <cell r="AK18">
            <v>0</v>
          </cell>
          <cell r="AL18">
            <v>0</v>
          </cell>
          <cell r="AM18">
            <v>0</v>
          </cell>
          <cell r="AN18">
            <v>0</v>
          </cell>
          <cell r="AO18">
            <v>0</v>
          </cell>
          <cell r="AP18">
            <v>0</v>
          </cell>
          <cell r="AQ18">
            <v>11.756456</v>
          </cell>
          <cell r="AR18">
            <v>26.3</v>
          </cell>
          <cell r="AS18">
            <v>16.488442864</v>
          </cell>
          <cell r="AT18">
            <v>14.380580665999998</v>
          </cell>
          <cell r="AU18">
            <v>2.6394211340000004</v>
          </cell>
          <cell r="AV18">
            <v>0.60057041300000003</v>
          </cell>
          <cell r="AW18">
            <v>1.036056863</v>
          </cell>
          <cell r="AX18">
            <v>0.37276778499999996</v>
          </cell>
          <cell r="AY18">
            <v>11.756456</v>
          </cell>
          <cell r="AZ18">
            <v>38.056455999999997</v>
          </cell>
          <cell r="BA18">
            <v>54.544898863999997</v>
          </cell>
          <cell r="BB18">
            <v>68.92547952999999</v>
          </cell>
          <cell r="BC18">
            <v>71.564900663999993</v>
          </cell>
          <cell r="BD18">
            <v>72.165471076999992</v>
          </cell>
          <cell r="BE18">
            <v>73.201527939999991</v>
          </cell>
          <cell r="BF18">
            <v>73.574295724999985</v>
          </cell>
          <cell r="BG18">
            <v>73.992261608999982</v>
          </cell>
          <cell r="BI18">
            <v>0</v>
          </cell>
          <cell r="BJ18">
            <v>0</v>
          </cell>
          <cell r="BK18">
            <v>0</v>
          </cell>
          <cell r="BL18">
            <v>0</v>
          </cell>
          <cell r="BM18">
            <v>0</v>
          </cell>
          <cell r="BN18">
            <v>0</v>
          </cell>
          <cell r="BO18">
            <v>0</v>
          </cell>
          <cell r="BP18">
            <v>0</v>
          </cell>
          <cell r="BQ18">
            <v>11.756456</v>
          </cell>
          <cell r="BR18">
            <v>38.056455999999997</v>
          </cell>
          <cell r="BS18">
            <v>54.544898863999997</v>
          </cell>
          <cell r="BT18">
            <v>68.92547952999999</v>
          </cell>
          <cell r="BU18">
            <v>71.564900663999993</v>
          </cell>
          <cell r="BV18">
            <v>72.165471076999992</v>
          </cell>
          <cell r="BW18">
            <v>73.201527939999991</v>
          </cell>
          <cell r="BX18">
            <v>73.574295724999985</v>
          </cell>
          <cell r="BY18">
            <v>73.992261608999982</v>
          </cell>
          <cell r="BZ18">
            <v>0</v>
          </cell>
          <cell r="CA18">
            <v>0</v>
          </cell>
          <cell r="CB18">
            <v>0</v>
          </cell>
          <cell r="CC18">
            <v>38.056455999999997</v>
          </cell>
          <cell r="CD18">
            <v>0</v>
          </cell>
          <cell r="CE18">
            <v>38.056455999999997</v>
          </cell>
          <cell r="CF18" t="str">
            <v xml:space="preserve">n.a. </v>
          </cell>
        </row>
        <row r="19">
          <cell r="L19">
            <v>387.18270000000001</v>
          </cell>
          <cell r="M19">
            <v>0</v>
          </cell>
          <cell r="N19">
            <v>387.18270000000001</v>
          </cell>
          <cell r="Q19">
            <v>35.094471764150001</v>
          </cell>
          <cell r="R19">
            <v>35.14656270695</v>
          </cell>
          <cell r="S19">
            <v>29.180717095710001</v>
          </cell>
          <cell r="T19">
            <v>31.759557582969997</v>
          </cell>
          <cell r="U19">
            <v>26.012900590530002</v>
          </cell>
          <cell r="V19">
            <v>28.550581069179998</v>
          </cell>
          <cell r="W19">
            <v>29.711161721580002</v>
          </cell>
          <cell r="X19">
            <v>29.501093009100003</v>
          </cell>
          <cell r="Y19">
            <v>16.481547299860001</v>
          </cell>
          <cell r="Z19">
            <v>54.881081765122673</v>
          </cell>
          <cell r="AA19">
            <v>407.57820320317273</v>
          </cell>
          <cell r="AB19">
            <v>0.3597821418076097</v>
          </cell>
          <cell r="AC19" t="e">
            <v>#VALUE!</v>
          </cell>
          <cell r="AD19">
            <v>0.3597821418076097</v>
          </cell>
          <cell r="AE19">
            <v>29.198869108833222</v>
          </cell>
          <cell r="AF19">
            <v>28.8</v>
          </cell>
          <cell r="AG19">
            <v>31.3</v>
          </cell>
          <cell r="AH19">
            <v>27.130943987791408</v>
          </cell>
          <cell r="AI19">
            <v>30.444743670989389</v>
          </cell>
          <cell r="AJ19">
            <v>28.784751352719894</v>
          </cell>
          <cell r="AK19">
            <v>31.027972937692418</v>
          </cell>
          <cell r="AL19">
            <v>31.818774086118658</v>
          </cell>
          <cell r="AM19">
            <v>31.975064531434899</v>
          </cell>
          <cell r="AN19">
            <v>40.148619127596049</v>
          </cell>
          <cell r="AO19">
            <v>39.130534348595681</v>
          </cell>
          <cell r="AP19">
            <v>6.3351749155667729</v>
          </cell>
          <cell r="AQ19">
            <v>26.924484573620003</v>
          </cell>
          <cell r="AR19">
            <v>3.7944717641499963</v>
          </cell>
          <cell r="AS19">
            <v>8.0156187191585921</v>
          </cell>
          <cell r="AT19">
            <v>-1.2640265752793898</v>
          </cell>
          <cell r="AU19">
            <v>2.9748062302501026</v>
          </cell>
          <cell r="AV19">
            <v>-5.0150723471624161</v>
          </cell>
          <cell r="AW19">
            <v>-3.2681930169386604</v>
          </cell>
          <cell r="AX19">
            <v>-2.2639028098548977</v>
          </cell>
          <cell r="AY19">
            <v>91.258528598020007</v>
          </cell>
          <cell r="AZ19">
            <v>126.35300036216999</v>
          </cell>
          <cell r="BA19">
            <v>161.49956306912</v>
          </cell>
          <cell r="BB19">
            <v>190.68028016483001</v>
          </cell>
          <cell r="BC19">
            <v>222.43983774780003</v>
          </cell>
          <cell r="BD19">
            <v>357.64563622913556</v>
          </cell>
          <cell r="BE19">
            <v>277.00331940751005</v>
          </cell>
          <cell r="BF19">
            <v>306.71448112909002</v>
          </cell>
          <cell r="BG19">
            <v>336.21557413819005</v>
          </cell>
          <cell r="BH19">
            <v>0</v>
          </cell>
          <cell r="BI19">
            <v>89.29886910883323</v>
          </cell>
          <cell r="BJ19">
            <v>116.42981309662463</v>
          </cell>
          <cell r="BK19">
            <v>146.87455676761402</v>
          </cell>
          <cell r="BL19">
            <v>175.65930812033389</v>
          </cell>
          <cell r="BM19">
            <v>206.68728105802634</v>
          </cell>
          <cell r="BN19">
            <v>238.50605514414499</v>
          </cell>
          <cell r="BO19">
            <v>270.48111967557992</v>
          </cell>
          <cell r="BP19">
            <v>310.629738803176</v>
          </cell>
          <cell r="BQ19">
            <v>91.258528598020007</v>
          </cell>
          <cell r="BR19">
            <v>37.05413125333677</v>
          </cell>
          <cell r="BS19">
            <v>45.069749972495373</v>
          </cell>
          <cell r="BT19">
            <v>43.805723397215992</v>
          </cell>
          <cell r="BU19">
            <v>46.780529627466109</v>
          </cell>
          <cell r="BV19">
            <v>41.765457280303671</v>
          </cell>
          <cell r="BW19">
            <v>38.497264263365032</v>
          </cell>
          <cell r="BX19">
            <v>36.233361453510128</v>
          </cell>
          <cell r="BY19">
            <v>25.585835335014067</v>
          </cell>
          <cell r="BZ19">
            <v>24.199999999999996</v>
          </cell>
          <cell r="CA19">
            <v>15.7</v>
          </cell>
          <cell r="CB19">
            <v>23.898</v>
          </cell>
          <cell r="CC19">
            <v>126.35300036216999</v>
          </cell>
          <cell r="CD19">
            <v>63.797999999999995</v>
          </cell>
          <cell r="CE19">
            <v>62.555000362169999</v>
          </cell>
          <cell r="CF19">
            <v>98.051663629220357</v>
          </cell>
        </row>
        <row r="20">
          <cell r="L20">
            <v>334.5376</v>
          </cell>
          <cell r="N20">
            <v>334.5376</v>
          </cell>
          <cell r="Q20">
            <v>22.9039720259</v>
          </cell>
          <cell r="R20">
            <v>25.0219692973</v>
          </cell>
          <cell r="S20">
            <v>21.114573597</v>
          </cell>
          <cell r="T20">
            <v>20.491068197259999</v>
          </cell>
          <cell r="U20">
            <v>18.793302554930001</v>
          </cell>
          <cell r="V20">
            <v>20.673125192440001</v>
          </cell>
          <cell r="W20">
            <v>21.788663787080001</v>
          </cell>
          <cell r="X20">
            <v>23.042011341850003</v>
          </cell>
          <cell r="Y20">
            <v>10.44828470136</v>
          </cell>
          <cell r="Z20">
            <v>47.236163857398111</v>
          </cell>
          <cell r="AA20">
            <v>281.14187918592813</v>
          </cell>
          <cell r="AB20">
            <v>0.31086268638339837</v>
          </cell>
          <cell r="AC20" t="str">
            <v xml:space="preserve"> </v>
          </cell>
          <cell r="AD20">
            <v>0.31086268638339837</v>
          </cell>
          <cell r="AE20">
            <v>22</v>
          </cell>
          <cell r="AF20">
            <v>22</v>
          </cell>
          <cell r="AG20">
            <v>22</v>
          </cell>
          <cell r="AH20">
            <v>23</v>
          </cell>
          <cell r="AI20">
            <v>26.92924657871426</v>
          </cell>
          <cell r="AJ20">
            <v>26.854149303394049</v>
          </cell>
          <cell r="AK20">
            <v>26.855239421008392</v>
          </cell>
          <cell r="AL20">
            <v>29.218076853133606</v>
          </cell>
          <cell r="AM20">
            <v>30.998947736553696</v>
          </cell>
          <cell r="AN20">
            <v>33.079835667980184</v>
          </cell>
          <cell r="AO20">
            <v>33.098148150243816</v>
          </cell>
          <cell r="AP20">
            <v>0.79152494470999457</v>
          </cell>
          <cell r="AQ20">
            <v>4.8372196887000065</v>
          </cell>
          <cell r="AR20">
            <v>0.90397202589999992</v>
          </cell>
          <cell r="AS20">
            <v>2.0219692973000001</v>
          </cell>
          <cell r="AT20">
            <v>-5.8146729817142599</v>
          </cell>
          <cell r="AU20">
            <v>-6.3630811061340502</v>
          </cell>
          <cell r="AV20">
            <v>-8.0619368660783906</v>
          </cell>
          <cell r="AW20">
            <v>-8.5449516606936058</v>
          </cell>
          <cell r="AX20">
            <v>-9.2102839494736948</v>
          </cell>
          <cell r="AY20">
            <v>49.628744633410001</v>
          </cell>
          <cell r="AZ20">
            <v>72.532716659309997</v>
          </cell>
          <cell r="BA20">
            <v>97.554685956610001</v>
          </cell>
          <cell r="BB20">
            <v>118.66925955361</v>
          </cell>
          <cell r="BC20">
            <v>139.16032775087001</v>
          </cell>
          <cell r="BD20">
            <v>157.9536303058</v>
          </cell>
          <cell r="BE20">
            <v>178.62675549824002</v>
          </cell>
          <cell r="BF20">
            <v>200.41541928532001</v>
          </cell>
          <cell r="BG20">
            <v>223.45743062717003</v>
          </cell>
          <cell r="BI20">
            <v>66</v>
          </cell>
          <cell r="BJ20">
            <v>89</v>
          </cell>
          <cell r="BK20">
            <v>115.92924657871426</v>
          </cell>
          <cell r="BL20">
            <v>142.78339588210829</v>
          </cell>
          <cell r="BM20">
            <v>169.6386353031167</v>
          </cell>
          <cell r="BN20">
            <v>198.8567121562503</v>
          </cell>
          <cell r="BO20">
            <v>229.855659892804</v>
          </cell>
          <cell r="BP20">
            <v>262.9354955607842</v>
          </cell>
          <cell r="BQ20">
            <v>49.628744633410001</v>
          </cell>
          <cell r="BR20">
            <v>6.5327166593099975</v>
          </cell>
          <cell r="BS20">
            <v>8.5546859566100011</v>
          </cell>
          <cell r="BT20">
            <v>2.7400129748957482</v>
          </cell>
          <cell r="BU20">
            <v>-3.6230681312382842</v>
          </cell>
          <cell r="BV20">
            <v>-11.685004997316696</v>
          </cell>
          <cell r="BW20">
            <v>-20.229956658010281</v>
          </cell>
          <cell r="BX20">
            <v>-29.440240607483986</v>
          </cell>
          <cell r="BY20">
            <v>-39.478064933614178</v>
          </cell>
          <cell r="BZ20">
            <v>16.5</v>
          </cell>
          <cell r="CA20">
            <v>10.1</v>
          </cell>
          <cell r="CB20">
            <v>18</v>
          </cell>
          <cell r="CC20">
            <v>72.532716659309997</v>
          </cell>
          <cell r="CD20">
            <v>44.6</v>
          </cell>
          <cell r="CE20">
            <v>27.932716659309996</v>
          </cell>
          <cell r="CF20">
            <v>62.629409550022409</v>
          </cell>
        </row>
        <row r="21">
          <cell r="L21">
            <v>146.351258</v>
          </cell>
          <cell r="N21">
            <v>146.351258</v>
          </cell>
          <cell r="Q21">
            <v>0</v>
          </cell>
          <cell r="R21">
            <v>0</v>
          </cell>
          <cell r="S21">
            <v>0</v>
          </cell>
          <cell r="T21">
            <v>0</v>
          </cell>
          <cell r="U21">
            <v>109.19289789080555</v>
          </cell>
          <cell r="V21">
            <v>0</v>
          </cell>
          <cell r="W21">
            <v>0</v>
          </cell>
          <cell r="X21">
            <v>0</v>
          </cell>
          <cell r="Y21">
            <v>31.230465983199998</v>
          </cell>
          <cell r="Z21">
            <v>7.9070483567900007</v>
          </cell>
          <cell r="AA21">
            <v>148.33041223079556</v>
          </cell>
          <cell r="AB21">
            <v>0.13599411610972822</v>
          </cell>
          <cell r="AC21" t="str">
            <v xml:space="preserve"> </v>
          </cell>
          <cell r="AD21">
            <v>0.13599411610972822</v>
          </cell>
          <cell r="AE21">
            <v>0</v>
          </cell>
          <cell r="AF21">
            <v>0</v>
          </cell>
          <cell r="AG21">
            <v>0</v>
          </cell>
          <cell r="AH21">
            <v>0</v>
          </cell>
          <cell r="AI21">
            <v>0</v>
          </cell>
          <cell r="AJ21">
            <v>0</v>
          </cell>
          <cell r="AK21">
            <v>111.04121000000001</v>
          </cell>
          <cell r="AL21">
            <v>0</v>
          </cell>
          <cell r="AM21">
            <v>0</v>
          </cell>
          <cell r="AN21">
            <v>0</v>
          </cell>
          <cell r="AO21">
            <v>35.310048000000002</v>
          </cell>
          <cell r="AP21">
            <v>0</v>
          </cell>
          <cell r="AQ21">
            <v>0</v>
          </cell>
          <cell r="AR21">
            <v>0</v>
          </cell>
          <cell r="AS21">
            <v>0</v>
          </cell>
          <cell r="AT21">
            <v>0</v>
          </cell>
          <cell r="AU21">
            <v>0</v>
          </cell>
          <cell r="AV21">
            <v>-1.8483121091944525</v>
          </cell>
          <cell r="AW21">
            <v>0</v>
          </cell>
          <cell r="AX21">
            <v>0</v>
          </cell>
          <cell r="AY21">
            <v>0</v>
          </cell>
          <cell r="AZ21">
            <v>0</v>
          </cell>
          <cell r="BA21">
            <v>0</v>
          </cell>
          <cell r="BB21">
            <v>0</v>
          </cell>
          <cell r="BC21">
            <v>0</v>
          </cell>
          <cell r="BD21">
            <v>109.19289789080555</v>
          </cell>
          <cell r="BE21">
            <v>109.19289789080555</v>
          </cell>
          <cell r="BF21">
            <v>109.19289789080555</v>
          </cell>
          <cell r="BG21">
            <v>109.19289789080555</v>
          </cell>
          <cell r="BH21">
            <v>0</v>
          </cell>
          <cell r="BI21">
            <v>0</v>
          </cell>
          <cell r="BJ21">
            <v>0</v>
          </cell>
          <cell r="BK21">
            <v>0</v>
          </cell>
          <cell r="BL21">
            <v>0</v>
          </cell>
          <cell r="BM21">
            <v>111.04121000000001</v>
          </cell>
          <cell r="BN21">
            <v>111.04121000000001</v>
          </cell>
          <cell r="BO21">
            <v>111.04121000000001</v>
          </cell>
          <cell r="BP21">
            <v>111.04121000000001</v>
          </cell>
          <cell r="BQ21">
            <v>0</v>
          </cell>
          <cell r="BR21">
            <v>0</v>
          </cell>
          <cell r="BS21">
            <v>0</v>
          </cell>
          <cell r="BT21">
            <v>0</v>
          </cell>
          <cell r="BU21">
            <v>0</v>
          </cell>
          <cell r="BV21">
            <v>-1.8483121091944525</v>
          </cell>
          <cell r="BW21">
            <v>-1.8483121091944525</v>
          </cell>
          <cell r="BX21">
            <v>-1.8483121091944525</v>
          </cell>
          <cell r="BY21">
            <v>-1.8483121091944525</v>
          </cell>
          <cell r="CC21">
            <v>0</v>
          </cell>
          <cell r="CD21">
            <v>0</v>
          </cell>
          <cell r="CE21">
            <v>0</v>
          </cell>
          <cell r="CF21" t="str">
            <v xml:space="preserve">n.a. </v>
          </cell>
        </row>
        <row r="22">
          <cell r="L22">
            <v>52.645099999999999</v>
          </cell>
          <cell r="N22">
            <v>52.645099999999999</v>
          </cell>
          <cell r="Q22">
            <v>12.190499738249997</v>
          </cell>
          <cell r="R22">
            <v>10.12459340965</v>
          </cell>
          <cell r="S22">
            <v>8.0661434987099998</v>
          </cell>
          <cell r="T22">
            <v>11.26848938571</v>
          </cell>
          <cell r="U22">
            <v>7.2195980356000007</v>
          </cell>
          <cell r="V22">
            <v>7.8774558767399991</v>
          </cell>
          <cell r="W22">
            <v>7.9224979344999999</v>
          </cell>
          <cell r="X22">
            <v>6.4590816672500004</v>
          </cell>
          <cell r="Y22">
            <v>6.0332625985000004</v>
          </cell>
          <cell r="Z22">
            <v>7.6449179077245635</v>
          </cell>
          <cell r="AA22">
            <v>126.43632401724457</v>
          </cell>
          <cell r="AB22">
            <v>4.8919455424211347E-2</v>
          </cell>
          <cell r="AC22" t="str">
            <v xml:space="preserve"> </v>
          </cell>
          <cell r="AD22">
            <v>4.8919455424211347E-2</v>
          </cell>
          <cell r="AE22">
            <v>7.19886910883322</v>
          </cell>
          <cell r="AF22">
            <v>6.8000000000000007</v>
          </cell>
          <cell r="AG22">
            <v>9.3000000000000007</v>
          </cell>
          <cell r="AH22">
            <v>4.1309439877914071</v>
          </cell>
          <cell r="AI22">
            <v>3.5154970922751296</v>
          </cell>
          <cell r="AJ22">
            <v>1.9306020493258464</v>
          </cell>
          <cell r="AK22">
            <v>4.1727335166840263</v>
          </cell>
          <cell r="AL22">
            <v>2.6006972329850533</v>
          </cell>
          <cell r="AM22">
            <v>0.97611679488120406</v>
          </cell>
          <cell r="AN22">
            <v>7.0687834596158625</v>
          </cell>
          <cell r="AO22">
            <v>6.0323861983518672</v>
          </cell>
          <cell r="AP22">
            <v>5.5436499708567784</v>
          </cell>
          <cell r="AQ22">
            <v>22.087264884919996</v>
          </cell>
          <cell r="AR22">
            <v>2.8904997382499964</v>
          </cell>
          <cell r="AS22">
            <v>5.993649421858593</v>
          </cell>
          <cell r="AT22">
            <v>4.5506464064348702</v>
          </cell>
          <cell r="AU22">
            <v>9.3378873363841528</v>
          </cell>
          <cell r="AV22">
            <v>3.0468645189159744</v>
          </cell>
          <cell r="AW22">
            <v>5.2767586437549454</v>
          </cell>
          <cell r="AX22">
            <v>6.9463811396187962</v>
          </cell>
          <cell r="AY22">
            <v>41.629783964609999</v>
          </cell>
          <cell r="AZ22">
            <v>53.820283702859996</v>
          </cell>
          <cell r="BA22">
            <v>63.94487711251</v>
          </cell>
          <cell r="BB22">
            <v>72.011020611220005</v>
          </cell>
          <cell r="BC22">
            <v>83.279509996930003</v>
          </cell>
          <cell r="BD22">
            <v>90.499108032530003</v>
          </cell>
          <cell r="BE22">
            <v>98.376563909270004</v>
          </cell>
          <cell r="BF22">
            <v>106.29906184377</v>
          </cell>
          <cell r="BG22">
            <v>112.75814351102001</v>
          </cell>
          <cell r="BI22">
            <v>23.298869108833223</v>
          </cell>
          <cell r="BJ22">
            <v>27.429813096624631</v>
          </cell>
          <cell r="BK22">
            <v>30.945310188899761</v>
          </cell>
          <cell r="BL22">
            <v>32.875912238225609</v>
          </cell>
          <cell r="BM22">
            <v>37.048645754909636</v>
          </cell>
          <cell r="BN22">
            <v>39.649342987894691</v>
          </cell>
          <cell r="BO22">
            <v>40.625459782775899</v>
          </cell>
          <cell r="BP22">
            <v>47.694243242391764</v>
          </cell>
          <cell r="BQ22">
            <v>41.629783964609999</v>
          </cell>
          <cell r="BR22">
            <v>30.521414594026773</v>
          </cell>
          <cell r="BS22">
            <v>36.515064015885372</v>
          </cell>
          <cell r="BT22">
            <v>41.065710422320244</v>
          </cell>
          <cell r="BU22">
            <v>50.403597758704393</v>
          </cell>
          <cell r="BV22">
            <v>53.450462277620368</v>
          </cell>
          <cell r="BW22">
            <v>58.727220921375313</v>
          </cell>
          <cell r="BX22">
            <v>65.673602060994114</v>
          </cell>
          <cell r="BY22">
            <v>65.063900268628245</v>
          </cell>
          <cell r="BZ22">
            <v>7.6999999999999957</v>
          </cell>
          <cell r="CA22">
            <v>5.6</v>
          </cell>
          <cell r="CB22">
            <v>5.8979999999999997</v>
          </cell>
          <cell r="CC22">
            <v>53.820283702859996</v>
          </cell>
          <cell r="CD22">
            <v>19.197999999999993</v>
          </cell>
          <cell r="CE22">
            <v>34.622283702860003</v>
          </cell>
          <cell r="CF22">
            <v>180.34318003364942</v>
          </cell>
        </row>
        <row r="23">
          <cell r="L23">
            <v>1674.3179556702951</v>
          </cell>
          <cell r="M23">
            <v>8.8000000000000007</v>
          </cell>
          <cell r="N23">
            <v>1683.117955670295</v>
          </cell>
          <cell r="Q23">
            <v>163.61824812751036</v>
          </cell>
          <cell r="R23">
            <v>61.612279365768785</v>
          </cell>
          <cell r="S23">
            <v>90.096186472955367</v>
          </cell>
          <cell r="T23">
            <v>160.4210803613822</v>
          </cell>
          <cell r="U23">
            <v>297.39152626585241</v>
          </cell>
          <cell r="V23">
            <v>186.98624629550562</v>
          </cell>
          <cell r="W23">
            <v>231.99092437548458</v>
          </cell>
          <cell r="X23">
            <v>65.708967842202497</v>
          </cell>
          <cell r="Y23">
            <v>158.71604268705073</v>
          </cell>
          <cell r="Z23">
            <v>89.273360399922467</v>
          </cell>
          <cell r="AA23">
            <v>1685.5098574418048</v>
          </cell>
          <cell r="AB23">
            <v>1.4198339210365529</v>
          </cell>
          <cell r="AC23" t="e">
            <v>#VALUE!</v>
          </cell>
          <cell r="AD23">
            <v>1.4280111532525248</v>
          </cell>
          <cell r="AE23">
            <v>43.358681283538402</v>
          </cell>
          <cell r="AF23">
            <v>54.703301943100755</v>
          </cell>
          <cell r="AG23">
            <v>206.42999999999998</v>
          </cell>
          <cell r="AH23">
            <v>70.698789840206189</v>
          </cell>
          <cell r="AI23">
            <v>59.375908959537576</v>
          </cell>
          <cell r="AJ23">
            <v>96.220930635838158</v>
          </cell>
          <cell r="AK23">
            <v>335.83759517341042</v>
          </cell>
          <cell r="AL23">
            <v>85.101789017341048</v>
          </cell>
          <cell r="AM23">
            <v>224.30134537572255</v>
          </cell>
          <cell r="AN23">
            <v>94.061628612716802</v>
          </cell>
          <cell r="AO23">
            <v>129.78339337572254</v>
          </cell>
          <cell r="AP23">
            <v>83.805314235128307</v>
          </cell>
          <cell r="AQ23">
            <v>-12.008406786217934</v>
          </cell>
          <cell r="AR23">
            <v>-50.777339729859634</v>
          </cell>
          <cell r="AS23">
            <v>-12.611102625827407</v>
          </cell>
          <cell r="AT23">
            <v>27.177377234257804</v>
          </cell>
          <cell r="AU23">
            <v>59.458325550864039</v>
          </cell>
          <cell r="AV23">
            <v>-38.446068907558015</v>
          </cell>
          <cell r="AW23">
            <v>101.88445727816458</v>
          </cell>
          <cell r="AX23">
            <v>7.6895789997620341</v>
          </cell>
          <cell r="AY23">
            <v>169.85889067554956</v>
          </cell>
          <cell r="AZ23">
            <v>325.51155094568986</v>
          </cell>
          <cell r="BA23">
            <v>383.59923816006869</v>
          </cell>
          <cell r="BB23">
            <v>470.15252435386401</v>
          </cell>
          <cell r="BC23">
            <v>625.83178054056623</v>
          </cell>
          <cell r="BD23">
            <v>811.30850955592302</v>
          </cell>
          <cell r="BE23">
            <v>1104.3753511195941</v>
          </cell>
          <cell r="BF23">
            <v>1327.9476802744889</v>
          </cell>
          <cell r="BG23">
            <v>1393.6566481166917</v>
          </cell>
          <cell r="BH23">
            <v>98.061983226639157</v>
          </cell>
          <cell r="BI23">
            <v>304.49198322663915</v>
          </cell>
          <cell r="BJ23">
            <v>375.19077306684534</v>
          </cell>
          <cell r="BK23">
            <v>434.56668202638292</v>
          </cell>
          <cell r="BL23">
            <v>530.78761266222102</v>
          </cell>
          <cell r="BM23">
            <v>866.62520783563139</v>
          </cell>
          <cell r="BN23">
            <v>951.72699685297243</v>
          </cell>
          <cell r="BO23">
            <v>1176.0283422286952</v>
          </cell>
          <cell r="BP23">
            <v>1270.089970841412</v>
          </cell>
          <cell r="BQ23">
            <v>71.79690744891036</v>
          </cell>
          <cell r="BR23">
            <v>21.019567719050727</v>
          </cell>
          <cell r="BS23">
            <v>8.4084650932233131</v>
          </cell>
          <cell r="BT23">
            <v>35.585842327481132</v>
          </cell>
          <cell r="BU23">
            <v>95.044167878345149</v>
          </cell>
          <cell r="BV23">
            <v>53.876199611097185</v>
          </cell>
          <cell r="BW23">
            <v>152.64835426662171</v>
          </cell>
          <cell r="BX23">
            <v>151.91933804579378</v>
          </cell>
          <cell r="BY23">
            <v>123.5666772752795</v>
          </cell>
          <cell r="BZ23">
            <v>87.848982000000007</v>
          </cell>
          <cell r="CA23">
            <v>68.755261813999994</v>
          </cell>
          <cell r="CB23">
            <v>256.76741800000002</v>
          </cell>
          <cell r="CC23">
            <v>325.51155094568986</v>
          </cell>
          <cell r="CD23">
            <v>413.37166181400005</v>
          </cell>
          <cell r="CE23">
            <v>-87.860110868310187</v>
          </cell>
          <cell r="CF23">
            <v>-21.254507501252849</v>
          </cell>
        </row>
        <row r="24">
          <cell r="L24">
            <v>493.00005823502755</v>
          </cell>
          <cell r="M24">
            <v>8.8000000000000007</v>
          </cell>
          <cell r="N24">
            <v>501.80005823502756</v>
          </cell>
          <cell r="Q24">
            <v>20.389989183469996</v>
          </cell>
          <cell r="R24">
            <v>23.18330702766</v>
          </cell>
          <cell r="S24">
            <v>26.06416653558</v>
          </cell>
          <cell r="T24">
            <v>47.061405926010011</v>
          </cell>
          <cell r="U24">
            <v>30.953203019040004</v>
          </cell>
          <cell r="V24">
            <v>36.708243836569999</v>
          </cell>
          <cell r="W24">
            <v>24.578930537091001</v>
          </cell>
          <cell r="X24">
            <v>18.250467203880003</v>
          </cell>
          <cell r="Y24">
            <v>20.02734643026</v>
          </cell>
          <cell r="Z24">
            <v>54.986501595973827</v>
          </cell>
          <cell r="AA24">
            <v>364.86700234252476</v>
          </cell>
          <cell r="AB24">
            <v>0.45811090439493946</v>
          </cell>
          <cell r="AC24">
            <v>8.1772322159718545E-3</v>
          </cell>
          <cell r="AD24">
            <v>0.46628813661091134</v>
          </cell>
          <cell r="AE24">
            <v>27.7</v>
          </cell>
          <cell r="AF24">
            <v>36</v>
          </cell>
          <cell r="AG24">
            <v>32.700000000000003</v>
          </cell>
          <cell r="AH24">
            <v>24.7</v>
          </cell>
          <cell r="AI24">
            <v>31.9</v>
          </cell>
          <cell r="AJ24">
            <v>52.1</v>
          </cell>
          <cell r="AK24">
            <v>39</v>
          </cell>
          <cell r="AL24">
            <v>43.2</v>
          </cell>
          <cell r="AM24">
            <v>43.2</v>
          </cell>
          <cell r="AN24">
            <v>43.2</v>
          </cell>
          <cell r="AO24">
            <v>43.2</v>
          </cell>
          <cell r="AP24">
            <v>10.564640287859877</v>
          </cell>
          <cell r="AQ24">
            <v>-11.601199240870002</v>
          </cell>
          <cell r="AR24">
            <v>-12.310010816530006</v>
          </cell>
          <cell r="AS24">
            <v>-1.5166929723399996</v>
          </cell>
          <cell r="AT24">
            <v>-5.8358334644199985</v>
          </cell>
          <cell r="AU24">
            <v>-5.0385940739899908</v>
          </cell>
          <cell r="AV24">
            <v>-8.0467969809599964</v>
          </cell>
          <cell r="AW24">
            <v>-6.4917561634300043</v>
          </cell>
          <cell r="AX24">
            <v>-18.621069462909002</v>
          </cell>
          <cell r="AY24">
            <v>62.663441046989874</v>
          </cell>
          <cell r="AZ24">
            <v>83.053430230459867</v>
          </cell>
          <cell r="BA24">
            <v>106.23673725811986</v>
          </cell>
          <cell r="BB24">
            <v>132.30090379369986</v>
          </cell>
          <cell r="BC24">
            <v>179.36230971970986</v>
          </cell>
          <cell r="BD24">
            <v>210.31551273874987</v>
          </cell>
          <cell r="BE24">
            <v>247.02375657531988</v>
          </cell>
          <cell r="BF24">
            <v>271.60268711241088</v>
          </cell>
          <cell r="BG24">
            <v>289.8531543162909</v>
          </cell>
          <cell r="BH24">
            <v>63.7</v>
          </cell>
          <cell r="BI24">
            <v>96.4</v>
          </cell>
          <cell r="BJ24">
            <v>121.10000000000001</v>
          </cell>
          <cell r="BK24">
            <v>153</v>
          </cell>
          <cell r="BL24">
            <v>205.1</v>
          </cell>
          <cell r="BM24">
            <v>244.1</v>
          </cell>
          <cell r="BN24">
            <v>287.3</v>
          </cell>
          <cell r="BO24">
            <v>330.5</v>
          </cell>
          <cell r="BP24">
            <v>373.7</v>
          </cell>
          <cell r="BQ24">
            <v>-1.0365589530101289</v>
          </cell>
          <cell r="BR24">
            <v>-13.346569769540139</v>
          </cell>
          <cell r="BS24">
            <v>-14.863262741880149</v>
          </cell>
          <cell r="BT24">
            <v>-20.69909620630014</v>
          </cell>
          <cell r="BU24">
            <v>-25.737690280290138</v>
          </cell>
          <cell r="BV24">
            <v>-33.784487261250121</v>
          </cell>
          <cell r="BW24">
            <v>-40.276243424680132</v>
          </cell>
          <cell r="BX24">
            <v>-58.897312887589123</v>
          </cell>
          <cell r="BY24">
            <v>-83.846845683709091</v>
          </cell>
          <cell r="BZ24">
            <v>25.247000000000003</v>
          </cell>
          <cell r="CA24">
            <v>20.698</v>
          </cell>
          <cell r="CB24">
            <v>19.547000000000001</v>
          </cell>
          <cell r="CC24">
            <v>83.053430230459867</v>
          </cell>
          <cell r="CD24">
            <v>65.492000000000004</v>
          </cell>
          <cell r="CE24">
            <v>17.561430230459862</v>
          </cell>
          <cell r="CF24">
            <v>26.814618931258561</v>
          </cell>
        </row>
        <row r="25">
          <cell r="L25">
            <v>74.080139435267796</v>
          </cell>
          <cell r="N25">
            <v>74.080139435267796</v>
          </cell>
          <cell r="Q25">
            <v>20.419145816216478</v>
          </cell>
          <cell r="R25">
            <v>18.153312371182583</v>
          </cell>
          <cell r="S25">
            <v>17.05947118514537</v>
          </cell>
          <cell r="T25">
            <v>12.247566229500725</v>
          </cell>
          <cell r="U25">
            <v>25.380658931673061</v>
          </cell>
          <cell r="V25">
            <v>21.110588443768986</v>
          </cell>
          <cell r="W25">
            <v>19.332088271396032</v>
          </cell>
          <cell r="X25">
            <v>22.45435902849901</v>
          </cell>
          <cell r="Y25">
            <v>36.47583390597061</v>
          </cell>
          <cell r="Z25">
            <v>17.618997905190007</v>
          </cell>
          <cell r="AA25">
            <v>225.48435435511669</v>
          </cell>
          <cell r="AB25">
            <v>6.8837557131108951E-2</v>
          </cell>
          <cell r="AC25" t="str">
            <v xml:space="preserve"> </v>
          </cell>
          <cell r="AD25">
            <v>6.8837557131108951E-2</v>
          </cell>
          <cell r="AE25">
            <v>2</v>
          </cell>
          <cell r="AF25">
            <v>4.0999999999999996</v>
          </cell>
          <cell r="AG25">
            <v>5</v>
          </cell>
          <cell r="AH25">
            <v>22</v>
          </cell>
          <cell r="AI25">
            <v>10.4</v>
          </cell>
          <cell r="AJ25">
            <v>11.8</v>
          </cell>
          <cell r="AK25">
            <v>23.4</v>
          </cell>
          <cell r="AL25">
            <v>7.2</v>
          </cell>
          <cell r="AM25">
            <v>7.2</v>
          </cell>
          <cell r="AN25">
            <v>7.2</v>
          </cell>
          <cell r="AO25">
            <v>7.2</v>
          </cell>
          <cell r="AP25">
            <v>6.741418895517878</v>
          </cell>
          <cell r="AQ25">
            <v>2.3909133710559747</v>
          </cell>
          <cell r="AR25">
            <v>15.419145816216478</v>
          </cell>
          <cell r="AS25">
            <v>-3.846687628817417</v>
          </cell>
          <cell r="AT25">
            <v>6.6594711851453692</v>
          </cell>
          <cell r="AU25">
            <v>0.44756622950072433</v>
          </cell>
          <cell r="AV25">
            <v>1.9806589316730623</v>
          </cell>
          <cell r="AW25">
            <v>13.910588443768987</v>
          </cell>
          <cell r="AX25">
            <v>12.132088271396032</v>
          </cell>
          <cell r="AY25">
            <v>15.232332266573852</v>
          </cell>
          <cell r="AZ25">
            <v>35.651478082790334</v>
          </cell>
          <cell r="BA25">
            <v>53.804790453972913</v>
          </cell>
          <cell r="BB25">
            <v>70.864261639118283</v>
          </cell>
          <cell r="BC25">
            <v>83.111827868619002</v>
          </cell>
          <cell r="BD25">
            <v>108.49248680029206</v>
          </cell>
          <cell r="BE25">
            <v>129.60307524406105</v>
          </cell>
          <cell r="BF25">
            <v>148.93516351545708</v>
          </cell>
          <cell r="BG25">
            <v>171.38952254395608</v>
          </cell>
          <cell r="BH25">
            <v>6.1</v>
          </cell>
          <cell r="BI25">
            <v>11.1</v>
          </cell>
          <cell r="BJ25">
            <v>33.1</v>
          </cell>
          <cell r="BK25">
            <v>43.5</v>
          </cell>
          <cell r="BL25">
            <v>55.3</v>
          </cell>
          <cell r="BM25">
            <v>78.699999999999989</v>
          </cell>
          <cell r="BN25">
            <v>85.899999999999991</v>
          </cell>
          <cell r="BO25">
            <v>93.1</v>
          </cell>
          <cell r="BP25">
            <v>100.3</v>
          </cell>
          <cell r="BQ25">
            <v>9.1323322665738527</v>
          </cell>
          <cell r="BR25">
            <v>24.551478082790332</v>
          </cell>
          <cell r="BS25">
            <v>20.704790453972912</v>
          </cell>
          <cell r="BT25">
            <v>27.364261639118283</v>
          </cell>
          <cell r="BU25">
            <v>27.811827868619005</v>
          </cell>
          <cell r="BV25">
            <v>29.792486800292068</v>
          </cell>
          <cell r="BW25">
            <v>43.703075244061054</v>
          </cell>
          <cell r="BX25">
            <v>55.835163515457083</v>
          </cell>
          <cell r="BY25">
            <v>71.089522543956079</v>
          </cell>
          <cell r="BZ25">
            <v>23.351859999999999</v>
          </cell>
          <cell r="CA25">
            <v>20.5769068</v>
          </cell>
          <cell r="CB25">
            <v>29.963000000000001</v>
          </cell>
          <cell r="CC25">
            <v>35.651478082790334</v>
          </cell>
          <cell r="CD25">
            <v>73.891766799999999</v>
          </cell>
          <cell r="CE25">
            <v>-38.240288717209665</v>
          </cell>
          <cell r="CF25">
            <v>-51.751758515550428</v>
          </cell>
        </row>
        <row r="26">
          <cell r="L26">
            <v>10.8</v>
          </cell>
          <cell r="N26">
            <v>10.8</v>
          </cell>
          <cell r="Q26">
            <v>7.4463383106399998</v>
          </cell>
          <cell r="R26">
            <v>8.1457029190000002E-2</v>
          </cell>
          <cell r="S26">
            <v>0</v>
          </cell>
          <cell r="T26">
            <v>0</v>
          </cell>
          <cell r="U26">
            <v>9.3261672939999998E-2</v>
          </cell>
          <cell r="V26">
            <v>0.87509684561000001</v>
          </cell>
          <cell r="W26">
            <v>6.2785879759299998</v>
          </cell>
          <cell r="X26">
            <v>0</v>
          </cell>
          <cell r="Y26">
            <v>0</v>
          </cell>
          <cell r="Z26">
            <v>0</v>
          </cell>
          <cell r="AA26">
            <v>15.571623193810002</v>
          </cell>
          <cell r="AB26">
            <v>1.0035694083238185E-2</v>
          </cell>
          <cell r="AC26" t="str">
            <v xml:space="preserve"> </v>
          </cell>
          <cell r="AD26">
            <v>1.0035694083238185E-2</v>
          </cell>
          <cell r="AE26">
            <v>1.5389999999999999</v>
          </cell>
          <cell r="AF26">
            <v>2.1778</v>
          </cell>
          <cell r="AG26">
            <v>19.13</v>
          </cell>
          <cell r="AH26">
            <v>1.2230000000000001</v>
          </cell>
          <cell r="AI26">
            <v>3.2370000000000001</v>
          </cell>
          <cell r="AJ26">
            <v>2</v>
          </cell>
          <cell r="AK26">
            <v>3.1</v>
          </cell>
          <cell r="AL26">
            <v>3.5</v>
          </cell>
          <cell r="AM26">
            <v>3.5</v>
          </cell>
          <cell r="AN26">
            <v>3.5</v>
          </cell>
          <cell r="AO26">
            <v>3.5</v>
          </cell>
          <cell r="AP26">
            <v>-0.74211864049999998</v>
          </cell>
          <cell r="AQ26">
            <v>-2.1778</v>
          </cell>
          <cell r="AR26">
            <v>-11.683661689359999</v>
          </cell>
          <cell r="AS26">
            <v>-1.14154297081</v>
          </cell>
          <cell r="AT26">
            <v>-3.2370000000000001</v>
          </cell>
          <cell r="AU26">
            <v>-2</v>
          </cell>
          <cell r="AV26">
            <v>-3.0067383270599999</v>
          </cell>
          <cell r="AW26">
            <v>-2.6249031543900001</v>
          </cell>
          <cell r="AX26">
            <v>2.7785879759299998</v>
          </cell>
          <cell r="AY26">
            <v>0.79688135949999994</v>
          </cell>
          <cell r="AZ26">
            <v>8.2432196701400002</v>
          </cell>
          <cell r="BA26">
            <v>8.3246766993300003</v>
          </cell>
          <cell r="BB26">
            <v>8.3246766993300003</v>
          </cell>
          <cell r="BC26">
            <v>8.3246766993300003</v>
          </cell>
          <cell r="BD26">
            <v>8.417938372270001</v>
          </cell>
          <cell r="BE26">
            <v>9.2930352178800018</v>
          </cell>
          <cell r="BF26">
            <v>15.571623193810002</v>
          </cell>
          <cell r="BG26">
            <v>15.571623193810002</v>
          </cell>
          <cell r="BH26">
            <v>3.7168000000000001</v>
          </cell>
          <cell r="BI26">
            <v>22.846799999999998</v>
          </cell>
          <cell r="BJ26">
            <v>24.069799999999997</v>
          </cell>
          <cell r="BK26">
            <v>27.306799999999996</v>
          </cell>
          <cell r="BL26">
            <v>29.306799999999996</v>
          </cell>
          <cell r="BM26">
            <v>32.406799999999997</v>
          </cell>
          <cell r="BN26">
            <v>35.906799999999997</v>
          </cell>
          <cell r="BO26">
            <v>39.406799999999997</v>
          </cell>
          <cell r="BP26">
            <v>42.906799999999997</v>
          </cell>
          <cell r="BQ26">
            <v>-2.9199186405000002</v>
          </cell>
          <cell r="BR26">
            <v>-14.603580329859998</v>
          </cell>
          <cell r="BS26">
            <v>-15.745123300669997</v>
          </cell>
          <cell r="BT26">
            <v>-18.982123300669997</v>
          </cell>
          <cell r="BU26">
            <v>-20.982123300669997</v>
          </cell>
          <cell r="BV26">
            <v>-23.988861627729996</v>
          </cell>
          <cell r="BW26">
            <v>-26.613764782119993</v>
          </cell>
          <cell r="BX26">
            <v>-23.835176806189995</v>
          </cell>
          <cell r="BY26">
            <v>-27.335176806189995</v>
          </cell>
          <cell r="BZ26">
            <v>0.55522199999999999</v>
          </cell>
          <cell r="CA26">
            <v>0.17439501400000001</v>
          </cell>
          <cell r="CB26">
            <v>0.149418</v>
          </cell>
          <cell r="CC26">
            <v>8.2432196701400002</v>
          </cell>
          <cell r="CD26">
            <v>0.87903501400000006</v>
          </cell>
          <cell r="CE26">
            <v>7.36418465614</v>
          </cell>
          <cell r="CF26">
            <v>837.75782976262644</v>
          </cell>
        </row>
        <row r="27">
          <cell r="Q27">
            <v>7.9655878573700001</v>
          </cell>
          <cell r="R27">
            <v>3.5245921513900003</v>
          </cell>
          <cell r="S27">
            <v>3.5429002791599995</v>
          </cell>
          <cell r="T27">
            <v>4.7418241746799987</v>
          </cell>
          <cell r="U27">
            <v>2.7218993596900005</v>
          </cell>
          <cell r="V27">
            <v>3.1123026226399997</v>
          </cell>
          <cell r="W27">
            <v>8.4185952205899994</v>
          </cell>
          <cell r="X27">
            <v>0</v>
          </cell>
          <cell r="Y27">
            <v>0</v>
          </cell>
          <cell r="Z27">
            <v>0</v>
          </cell>
          <cell r="AA27">
            <v>43.863806238139993</v>
          </cell>
        </row>
        <row r="28">
          <cell r="L28">
            <v>186.15</v>
          </cell>
          <cell r="N28">
            <v>186.15</v>
          </cell>
          <cell r="Q28">
            <v>5.0113765807009782</v>
          </cell>
          <cell r="R28">
            <v>4.7818756766337636</v>
          </cell>
          <cell r="S28">
            <v>21.554095750260004</v>
          </cell>
          <cell r="T28">
            <v>5.9497288321294901</v>
          </cell>
          <cell r="U28">
            <v>3.9456540861499994</v>
          </cell>
          <cell r="V28">
            <v>21.941462904838779</v>
          </cell>
          <cell r="W28">
            <v>6.9551681920775339</v>
          </cell>
          <cell r="X28">
            <v>11.505704975772867</v>
          </cell>
          <cell r="Y28">
            <v>5.8337863561200001</v>
          </cell>
          <cell r="Z28">
            <v>7.3605258967185696</v>
          </cell>
          <cell r="AA28">
            <v>167.42776221485198</v>
          </cell>
          <cell r="AB28">
            <v>0.17297633829581371</v>
          </cell>
          <cell r="AC28" t="str">
            <v xml:space="preserve"> </v>
          </cell>
          <cell r="AD28">
            <v>0.17297633829581371</v>
          </cell>
          <cell r="AE28">
            <v>10.119681283538403</v>
          </cell>
          <cell r="AF28">
            <v>10.35904385061521</v>
          </cell>
          <cell r="AG28">
            <v>9.3999999999999986</v>
          </cell>
          <cell r="AH28">
            <v>7.7757898402061905</v>
          </cell>
          <cell r="AI28">
            <v>10.8</v>
          </cell>
          <cell r="AJ28">
            <v>24</v>
          </cell>
          <cell r="AK28">
            <v>5.2</v>
          </cell>
          <cell r="AL28">
            <v>29.5</v>
          </cell>
          <cell r="AM28">
            <v>29.5</v>
          </cell>
          <cell r="AN28">
            <v>29.5</v>
          </cell>
          <cell r="AO28">
            <v>29.5</v>
          </cell>
          <cell r="AP28">
            <v>53.538706444161605</v>
          </cell>
          <cell r="AQ28">
            <v>-1.4290486148652075</v>
          </cell>
          <cell r="AR28">
            <v>-4.3886234192990203</v>
          </cell>
          <cell r="AS28">
            <v>-2.9939141635724269</v>
          </cell>
          <cell r="AT28">
            <v>10.754095750260003</v>
          </cell>
          <cell r="AU28">
            <v>-18.050271167870509</v>
          </cell>
          <cell r="AV28">
            <v>-1.2543459138500008</v>
          </cell>
          <cell r="AW28">
            <v>-7.5585370951612205</v>
          </cell>
          <cell r="AX28">
            <v>-22.544831807922467</v>
          </cell>
          <cell r="AY28">
            <v>72.588382963450016</v>
          </cell>
          <cell r="AZ28">
            <v>77.599759544150999</v>
          </cell>
          <cell r="BA28">
            <v>82.381635220784759</v>
          </cell>
          <cell r="BB28">
            <v>103.93573097104476</v>
          </cell>
          <cell r="BC28">
            <v>109.88545980317426</v>
          </cell>
          <cell r="BD28">
            <v>113.83111388932426</v>
          </cell>
          <cell r="BE28">
            <v>135.77257679416303</v>
          </cell>
          <cell r="BF28">
            <v>142.72774498624057</v>
          </cell>
          <cell r="BG28">
            <v>154.23344996201342</v>
          </cell>
          <cell r="BH28">
            <v>20.478725134153613</v>
          </cell>
          <cell r="BI28">
            <v>29.878725134153612</v>
          </cell>
          <cell r="BJ28">
            <v>37.654514974359799</v>
          </cell>
          <cell r="BK28">
            <v>48.454514974359796</v>
          </cell>
          <cell r="BL28">
            <v>72.454514974359796</v>
          </cell>
          <cell r="BM28">
            <v>77.654514974359799</v>
          </cell>
          <cell r="BN28">
            <v>107.1545149743598</v>
          </cell>
          <cell r="BO28">
            <v>136.65451497435981</v>
          </cell>
          <cell r="BP28">
            <v>166.15451497435981</v>
          </cell>
          <cell r="BQ28">
            <v>52.109657829296403</v>
          </cell>
          <cell r="BR28">
            <v>47.721034409997387</v>
          </cell>
          <cell r="BS28">
            <v>44.72712024642496</v>
          </cell>
          <cell r="BT28">
            <v>55.481215996684966</v>
          </cell>
          <cell r="BU28">
            <v>37.430944828814461</v>
          </cell>
          <cell r="BV28">
            <v>36.176598914964458</v>
          </cell>
          <cell r="BW28">
            <v>28.618061819803231</v>
          </cell>
          <cell r="BX28">
            <v>6.073230011880753</v>
          </cell>
          <cell r="BY28">
            <v>-11.921065012346389</v>
          </cell>
          <cell r="BZ28">
            <v>32.994900000000001</v>
          </cell>
          <cell r="CA28">
            <v>16.900000000000002</v>
          </cell>
          <cell r="CB28">
            <v>8.8000000000000007</v>
          </cell>
          <cell r="CC28">
            <v>77.599759544150999</v>
          </cell>
          <cell r="CD28">
            <v>58.694900000000004</v>
          </cell>
          <cell r="CE28">
            <v>18.904859544150995</v>
          </cell>
          <cell r="CF28">
            <v>32.208691971791417</v>
          </cell>
        </row>
        <row r="29">
          <cell r="L29">
            <v>650.67629999999997</v>
          </cell>
          <cell r="M29">
            <v>0</v>
          </cell>
          <cell r="N29">
            <v>650.67629999999997</v>
          </cell>
          <cell r="Q29">
            <v>100</v>
          </cell>
          <cell r="R29">
            <v>0</v>
          </cell>
          <cell r="S29">
            <v>17.899999999999999</v>
          </cell>
          <cell r="T29">
            <v>88.812268683499994</v>
          </cell>
          <cell r="U29">
            <v>114.15</v>
          </cell>
          <cell r="V29">
            <v>98.247960756910004</v>
          </cell>
          <cell r="W29">
            <v>150.15</v>
          </cell>
          <cell r="X29">
            <v>0.5</v>
          </cell>
          <cell r="Y29">
            <v>58.708274347809997</v>
          </cell>
          <cell r="Z29">
            <v>0.14164135505006925</v>
          </cell>
          <cell r="AA29">
            <v>633.51014514327005</v>
          </cell>
          <cell r="AB29">
            <v>0.60462854574197344</v>
          </cell>
          <cell r="AC29" t="str">
            <v xml:space="preserve"> </v>
          </cell>
          <cell r="AD29">
            <v>0.60462854574197344</v>
          </cell>
          <cell r="AE29">
            <v>0</v>
          </cell>
          <cell r="AF29">
            <v>0</v>
          </cell>
          <cell r="AG29">
            <v>138.19999999999999</v>
          </cell>
          <cell r="AH29">
            <v>0</v>
          </cell>
          <cell r="AI29">
            <v>0</v>
          </cell>
          <cell r="AJ29">
            <v>0</v>
          </cell>
          <cell r="AK29">
            <v>139.078495</v>
          </cell>
          <cell r="AL29">
            <v>0</v>
          </cell>
          <cell r="AM29">
            <v>139.078</v>
          </cell>
          <cell r="AN29">
            <v>0</v>
          </cell>
          <cell r="AO29">
            <v>0</v>
          </cell>
          <cell r="AP29">
            <v>4.4000000000000004</v>
          </cell>
          <cell r="AQ29">
            <v>0.5</v>
          </cell>
          <cell r="AR29">
            <v>-38.199999999999989</v>
          </cell>
          <cell r="AS29">
            <v>0</v>
          </cell>
          <cell r="AT29">
            <v>17.899999999999999</v>
          </cell>
          <cell r="AU29">
            <v>88.812268683499994</v>
          </cell>
          <cell r="AV29">
            <v>-24.928494999999998</v>
          </cell>
          <cell r="AW29">
            <v>98.247960756910004</v>
          </cell>
          <cell r="AX29">
            <v>11.072000000000003</v>
          </cell>
          <cell r="AY29">
            <v>4.9000000000000004</v>
          </cell>
          <cell r="AZ29">
            <v>104.9</v>
          </cell>
          <cell r="BA29">
            <v>104.9</v>
          </cell>
          <cell r="BB29">
            <v>122.8</v>
          </cell>
          <cell r="BC29">
            <v>211.61226868349999</v>
          </cell>
          <cell r="BD29">
            <v>325.7622686835</v>
          </cell>
          <cell r="BE29">
            <v>424.01022944041</v>
          </cell>
          <cell r="BF29">
            <v>574.16022944041003</v>
          </cell>
          <cell r="BG29">
            <v>574.66022944041003</v>
          </cell>
          <cell r="BH29">
            <v>0</v>
          </cell>
          <cell r="BI29">
            <v>138.19999999999999</v>
          </cell>
          <cell r="BJ29">
            <v>138.19999999999999</v>
          </cell>
          <cell r="BK29">
            <v>138.19999999999999</v>
          </cell>
          <cell r="BL29">
            <v>138.19999999999999</v>
          </cell>
          <cell r="BM29">
            <v>277.27849500000002</v>
          </cell>
          <cell r="BN29">
            <v>277.27849500000002</v>
          </cell>
          <cell r="BO29">
            <v>416.356495</v>
          </cell>
          <cell r="BP29">
            <v>416.356495</v>
          </cell>
          <cell r="BQ29">
            <v>4.9000000000000004</v>
          </cell>
          <cell r="BR29">
            <v>-33.29999999999999</v>
          </cell>
          <cell r="BS29">
            <v>-33.29999999999999</v>
          </cell>
          <cell r="BT29">
            <v>-15.399999999999991</v>
          </cell>
          <cell r="BU29">
            <v>73.412268683500002</v>
          </cell>
          <cell r="BV29">
            <v>48.483773683500004</v>
          </cell>
          <cell r="BW29">
            <v>146.73173444041001</v>
          </cell>
          <cell r="BX29">
            <v>157.80373444041004</v>
          </cell>
          <cell r="BY29">
            <v>158.30373444041004</v>
          </cell>
          <cell r="BZ29">
            <v>0</v>
          </cell>
          <cell r="CA29">
            <v>8.5</v>
          </cell>
          <cell r="CB29">
            <v>189.3</v>
          </cell>
          <cell r="CC29">
            <v>104.9</v>
          </cell>
          <cell r="CD29">
            <v>197.8</v>
          </cell>
          <cell r="CE29">
            <v>-92.9</v>
          </cell>
          <cell r="CF29">
            <v>-46.96663296258847</v>
          </cell>
        </row>
        <row r="30">
          <cell r="G30" t="str">
            <v>Ecopetrol</v>
          </cell>
          <cell r="L30">
            <v>207</v>
          </cell>
          <cell r="N30">
            <v>207</v>
          </cell>
          <cell r="O30">
            <v>0</v>
          </cell>
          <cell r="P30">
            <v>0</v>
          </cell>
          <cell r="Q30">
            <v>0</v>
          </cell>
          <cell r="R30">
            <v>0</v>
          </cell>
          <cell r="S30">
            <v>0</v>
          </cell>
          <cell r="T30">
            <v>0</v>
          </cell>
          <cell r="U30">
            <v>103.5</v>
          </cell>
          <cell r="V30">
            <v>0</v>
          </cell>
          <cell r="W30">
            <v>0</v>
          </cell>
          <cell r="X30">
            <v>0</v>
          </cell>
          <cell r="Y30">
            <v>0</v>
          </cell>
          <cell r="Z30">
            <v>0</v>
          </cell>
          <cell r="AA30">
            <v>103.5</v>
          </cell>
          <cell r="AB30">
            <v>0.19235080326206519</v>
          </cell>
          <cell r="AC30" t="str">
            <v xml:space="preserve"> </v>
          </cell>
          <cell r="AD30">
            <v>0.19235080326206519</v>
          </cell>
          <cell r="AE30">
            <v>0</v>
          </cell>
          <cell r="AF30">
            <v>0</v>
          </cell>
          <cell r="AG30">
            <v>0</v>
          </cell>
          <cell r="AH30">
            <v>0</v>
          </cell>
          <cell r="AI30">
            <v>0</v>
          </cell>
          <cell r="AJ30">
            <v>0</v>
          </cell>
          <cell r="AK30">
            <v>139.078495</v>
          </cell>
          <cell r="AL30">
            <v>0</v>
          </cell>
          <cell r="AM30">
            <v>139.078</v>
          </cell>
          <cell r="AN30">
            <v>0</v>
          </cell>
          <cell r="AO30">
            <v>0</v>
          </cell>
          <cell r="AP30">
            <v>0</v>
          </cell>
          <cell r="AQ30">
            <v>0</v>
          </cell>
          <cell r="AR30">
            <v>0</v>
          </cell>
          <cell r="AS30">
            <v>0</v>
          </cell>
          <cell r="AT30">
            <v>0</v>
          </cell>
          <cell r="AU30">
            <v>0</v>
          </cell>
          <cell r="AV30">
            <v>-35.578495000000004</v>
          </cell>
          <cell r="AW30">
            <v>0</v>
          </cell>
          <cell r="AX30">
            <v>-139.078</v>
          </cell>
          <cell r="AY30">
            <v>0</v>
          </cell>
          <cell r="AZ30">
            <v>0</v>
          </cell>
          <cell r="BA30">
            <v>0</v>
          </cell>
          <cell r="BB30">
            <v>0</v>
          </cell>
          <cell r="BC30">
            <v>0</v>
          </cell>
          <cell r="BD30">
            <v>103.5</v>
          </cell>
          <cell r="BE30">
            <v>103.5</v>
          </cell>
          <cell r="BF30">
            <v>103.5</v>
          </cell>
          <cell r="BG30">
            <v>103.5</v>
          </cell>
          <cell r="BH30">
            <v>0</v>
          </cell>
          <cell r="BI30">
            <v>0</v>
          </cell>
          <cell r="BJ30">
            <v>0</v>
          </cell>
          <cell r="BK30">
            <v>0</v>
          </cell>
          <cell r="BL30">
            <v>0</v>
          </cell>
          <cell r="BM30">
            <v>139.078495</v>
          </cell>
          <cell r="BN30">
            <v>139.078495</v>
          </cell>
          <cell r="BO30">
            <v>278.15649500000001</v>
          </cell>
          <cell r="BP30">
            <v>278.15649500000001</v>
          </cell>
          <cell r="BQ30">
            <v>0</v>
          </cell>
          <cell r="BR30">
            <v>0</v>
          </cell>
          <cell r="BS30">
            <v>0</v>
          </cell>
          <cell r="BT30">
            <v>0</v>
          </cell>
          <cell r="BU30">
            <v>0</v>
          </cell>
          <cell r="BV30">
            <v>-35.578495000000004</v>
          </cell>
          <cell r="BW30">
            <v>-35.578495000000004</v>
          </cell>
          <cell r="BX30">
            <v>-174.65649500000001</v>
          </cell>
          <cell r="BY30">
            <v>-174.65649500000001</v>
          </cell>
          <cell r="CC30">
            <v>0</v>
          </cell>
          <cell r="CD30">
            <v>0</v>
          </cell>
          <cell r="CE30">
            <v>0</v>
          </cell>
          <cell r="CF30" t="str">
            <v xml:space="preserve">n.a. </v>
          </cell>
        </row>
        <row r="31">
          <cell r="G31" t="str">
            <v>Telecom</v>
          </cell>
          <cell r="L31">
            <v>40.799999999999997</v>
          </cell>
          <cell r="N31">
            <v>40.799999999999997</v>
          </cell>
          <cell r="O31">
            <v>0</v>
          </cell>
          <cell r="P31">
            <v>0</v>
          </cell>
          <cell r="Q31">
            <v>0</v>
          </cell>
          <cell r="R31">
            <v>0</v>
          </cell>
          <cell r="S31">
            <v>0</v>
          </cell>
          <cell r="T31">
            <v>0</v>
          </cell>
          <cell r="U31">
            <v>0</v>
          </cell>
          <cell r="V31">
            <v>0</v>
          </cell>
          <cell r="W31">
            <v>0</v>
          </cell>
          <cell r="X31">
            <v>0</v>
          </cell>
          <cell r="Y31">
            <v>0</v>
          </cell>
          <cell r="Z31">
            <v>0</v>
          </cell>
          <cell r="AA31">
            <v>0</v>
          </cell>
          <cell r="AB31">
            <v>3.7912622092233138E-2</v>
          </cell>
          <cell r="AC31" t="str">
            <v xml:space="preserve"> </v>
          </cell>
          <cell r="AD31">
            <v>3.7912622092233138E-2</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CC31">
            <v>0</v>
          </cell>
          <cell r="CD31">
            <v>0</v>
          </cell>
          <cell r="CE31">
            <v>0</v>
          </cell>
          <cell r="CF31" t="str">
            <v xml:space="preserve">n.a. </v>
          </cell>
        </row>
        <row r="32">
          <cell r="G32" t="str">
            <v>Banco de la República</v>
          </cell>
          <cell r="L32">
            <v>99.999999999999986</v>
          </cell>
          <cell r="N32">
            <v>99.999999999999986</v>
          </cell>
          <cell r="O32">
            <v>0</v>
          </cell>
          <cell r="P32">
            <v>0</v>
          </cell>
          <cell r="Q32">
            <v>100</v>
          </cell>
          <cell r="R32">
            <v>0</v>
          </cell>
          <cell r="S32">
            <v>0</v>
          </cell>
          <cell r="T32">
            <v>0</v>
          </cell>
          <cell r="U32">
            <v>0</v>
          </cell>
          <cell r="V32">
            <v>0</v>
          </cell>
          <cell r="W32">
            <v>0</v>
          </cell>
          <cell r="X32">
            <v>0</v>
          </cell>
          <cell r="Y32">
            <v>0</v>
          </cell>
          <cell r="Z32">
            <v>0</v>
          </cell>
          <cell r="AA32">
            <v>100</v>
          </cell>
          <cell r="AB32">
            <v>9.2923093363316514E-2</v>
          </cell>
          <cell r="AC32" t="str">
            <v xml:space="preserve"> </v>
          </cell>
          <cell r="AD32">
            <v>9.2923093363316514E-2</v>
          </cell>
          <cell r="AE32">
            <v>0</v>
          </cell>
          <cell r="AF32">
            <v>0</v>
          </cell>
          <cell r="AG32">
            <v>138.19999999999999</v>
          </cell>
          <cell r="AH32">
            <v>0</v>
          </cell>
          <cell r="AI32">
            <v>0</v>
          </cell>
          <cell r="AJ32">
            <v>0</v>
          </cell>
          <cell r="AK32">
            <v>0</v>
          </cell>
          <cell r="AL32">
            <v>0</v>
          </cell>
          <cell r="AM32">
            <v>0</v>
          </cell>
          <cell r="AN32">
            <v>0</v>
          </cell>
          <cell r="AO32">
            <v>0</v>
          </cell>
          <cell r="AP32">
            <v>0</v>
          </cell>
          <cell r="AQ32">
            <v>0</v>
          </cell>
          <cell r="AR32">
            <v>-38.199999999999989</v>
          </cell>
          <cell r="AS32">
            <v>0</v>
          </cell>
          <cell r="AT32">
            <v>0</v>
          </cell>
          <cell r="AU32">
            <v>0</v>
          </cell>
          <cell r="AV32">
            <v>0</v>
          </cell>
          <cell r="AW32">
            <v>0</v>
          </cell>
          <cell r="AX32">
            <v>0</v>
          </cell>
          <cell r="AY32">
            <v>0</v>
          </cell>
          <cell r="AZ32">
            <v>100</v>
          </cell>
          <cell r="BA32">
            <v>100</v>
          </cell>
          <cell r="BB32">
            <v>100</v>
          </cell>
          <cell r="BC32">
            <v>100</v>
          </cell>
          <cell r="BD32">
            <v>100</v>
          </cell>
          <cell r="BE32">
            <v>100</v>
          </cell>
          <cell r="BF32">
            <v>100</v>
          </cell>
          <cell r="BG32">
            <v>100</v>
          </cell>
          <cell r="BH32">
            <v>0</v>
          </cell>
          <cell r="BI32">
            <v>138.19999999999999</v>
          </cell>
          <cell r="BJ32">
            <v>138.19999999999999</v>
          </cell>
          <cell r="BK32">
            <v>138.19999999999999</v>
          </cell>
          <cell r="BL32">
            <v>138.19999999999999</v>
          </cell>
          <cell r="BM32">
            <v>138.19999999999999</v>
          </cell>
          <cell r="BN32">
            <v>138.19999999999999</v>
          </cell>
          <cell r="BO32">
            <v>138.19999999999999</v>
          </cell>
          <cell r="BP32">
            <v>138.19999999999999</v>
          </cell>
          <cell r="BQ32">
            <v>0</v>
          </cell>
          <cell r="BR32">
            <v>-38.199999999999989</v>
          </cell>
          <cell r="BS32">
            <v>-38.199999999999989</v>
          </cell>
          <cell r="BT32">
            <v>-38.199999999999989</v>
          </cell>
          <cell r="BU32">
            <v>-38.199999999999989</v>
          </cell>
          <cell r="BV32">
            <v>-38.199999999999989</v>
          </cell>
          <cell r="BW32">
            <v>-38.199999999999989</v>
          </cell>
          <cell r="BX32">
            <v>-38.199999999999989</v>
          </cell>
          <cell r="BY32">
            <v>-38.199999999999989</v>
          </cell>
          <cell r="CB32">
            <v>189.3</v>
          </cell>
          <cell r="CC32">
            <v>100</v>
          </cell>
          <cell r="CD32">
            <v>189.3</v>
          </cell>
          <cell r="CE32">
            <v>-89.300000000000011</v>
          </cell>
          <cell r="CF32">
            <v>-47.173798203909143</v>
          </cell>
        </row>
        <row r="33">
          <cell r="G33" t="str">
            <v>Isagen</v>
          </cell>
          <cell r="L33">
            <v>175.30330000000001</v>
          </cell>
          <cell r="N33">
            <v>175.30330000000001</v>
          </cell>
          <cell r="O33">
            <v>0</v>
          </cell>
          <cell r="P33">
            <v>0</v>
          </cell>
          <cell r="Q33">
            <v>0</v>
          </cell>
          <cell r="R33">
            <v>0</v>
          </cell>
          <cell r="S33">
            <v>0</v>
          </cell>
          <cell r="T33">
            <v>0</v>
          </cell>
          <cell r="U33">
            <v>0</v>
          </cell>
          <cell r="V33">
            <v>0</v>
          </cell>
          <cell r="W33">
            <v>0</v>
          </cell>
          <cell r="X33">
            <v>0</v>
          </cell>
          <cell r="Y33">
            <v>0</v>
          </cell>
          <cell r="Z33">
            <v>0</v>
          </cell>
          <cell r="AA33">
            <v>0</v>
          </cell>
          <cell r="AB33">
            <v>0.16289724912797485</v>
          </cell>
          <cell r="AC33" t="str">
            <v xml:space="preserve"> </v>
          </cell>
          <cell r="AD33">
            <v>0.16289724912797485</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CC33">
            <v>0</v>
          </cell>
          <cell r="CD33">
            <v>0</v>
          </cell>
          <cell r="CE33">
            <v>0</v>
          </cell>
          <cell r="CF33" t="str">
            <v xml:space="preserve">n.a. </v>
          </cell>
        </row>
        <row r="34">
          <cell r="G34" t="str">
            <v xml:space="preserve">Resto  </v>
          </cell>
          <cell r="L34">
            <v>127.57299999999999</v>
          </cell>
          <cell r="N34">
            <v>127.57299999999999</v>
          </cell>
          <cell r="O34">
            <v>4.4000000000000004</v>
          </cell>
          <cell r="P34">
            <v>0.5</v>
          </cell>
          <cell r="Q34">
            <v>0</v>
          </cell>
          <cell r="R34">
            <v>0</v>
          </cell>
          <cell r="S34">
            <v>17.899999999999999</v>
          </cell>
          <cell r="T34">
            <v>88.812268683499994</v>
          </cell>
          <cell r="U34">
            <v>10.650000000000006</v>
          </cell>
          <cell r="V34">
            <v>98.247960756910004</v>
          </cell>
          <cell r="W34">
            <v>150.15</v>
          </cell>
          <cell r="X34">
            <v>0.5</v>
          </cell>
          <cell r="Y34">
            <v>58.708274347809997</v>
          </cell>
          <cell r="Z34">
            <v>0.14164135505006925</v>
          </cell>
          <cell r="AA34">
            <v>430.01014514327011</v>
          </cell>
          <cell r="AB34">
            <v>0.11854477789638378</v>
          </cell>
          <cell r="AC34" t="str">
            <v xml:space="preserve"> </v>
          </cell>
          <cell r="AD34">
            <v>0.11854477789638378</v>
          </cell>
          <cell r="AE34">
            <v>0</v>
          </cell>
          <cell r="AF34">
            <v>0</v>
          </cell>
          <cell r="AG34">
            <v>0</v>
          </cell>
          <cell r="AH34">
            <v>0</v>
          </cell>
          <cell r="AI34">
            <v>0</v>
          </cell>
          <cell r="AJ34">
            <v>0</v>
          </cell>
          <cell r="AK34">
            <v>0</v>
          </cell>
          <cell r="AL34">
            <v>0</v>
          </cell>
          <cell r="AM34">
            <v>0</v>
          </cell>
          <cell r="AN34">
            <v>0</v>
          </cell>
          <cell r="AO34">
            <v>0</v>
          </cell>
          <cell r="AP34">
            <v>4.4000000000000004</v>
          </cell>
          <cell r="AQ34">
            <v>0.5</v>
          </cell>
          <cell r="AR34">
            <v>0</v>
          </cell>
          <cell r="AS34">
            <v>0</v>
          </cell>
          <cell r="AT34">
            <v>17.899999999999999</v>
          </cell>
          <cell r="AU34">
            <v>88.812268683499994</v>
          </cell>
          <cell r="AV34">
            <v>10.650000000000006</v>
          </cell>
          <cell r="AW34">
            <v>98.247960756910004</v>
          </cell>
          <cell r="AX34">
            <v>150.15</v>
          </cell>
          <cell r="AY34">
            <v>4.9000000000000004</v>
          </cell>
          <cell r="AZ34">
            <v>4.9000000000000004</v>
          </cell>
          <cell r="BA34">
            <v>4.9000000000000004</v>
          </cell>
          <cell r="BB34">
            <v>22.799999999999997</v>
          </cell>
          <cell r="BC34">
            <v>111.61226868349999</v>
          </cell>
          <cell r="BD34">
            <v>122.2622686835</v>
          </cell>
          <cell r="BE34">
            <v>220.51022944041</v>
          </cell>
          <cell r="BF34">
            <v>370.66022944041003</v>
          </cell>
          <cell r="BG34">
            <v>371.16022944041003</v>
          </cell>
          <cell r="BH34">
            <v>0</v>
          </cell>
          <cell r="BI34">
            <v>0</v>
          </cell>
          <cell r="BJ34">
            <v>0</v>
          </cell>
          <cell r="BK34">
            <v>0</v>
          </cell>
          <cell r="BL34">
            <v>0</v>
          </cell>
          <cell r="BM34">
            <v>0</v>
          </cell>
          <cell r="BN34">
            <v>0</v>
          </cell>
          <cell r="BO34">
            <v>0</v>
          </cell>
          <cell r="BP34">
            <v>0</v>
          </cell>
          <cell r="BQ34">
            <v>4.9000000000000004</v>
          </cell>
          <cell r="BR34">
            <v>4.9000000000000004</v>
          </cell>
          <cell r="BS34">
            <v>4.9000000000000004</v>
          </cell>
          <cell r="BT34">
            <v>22.799999999999997</v>
          </cell>
          <cell r="BU34">
            <v>111.61226868349999</v>
          </cell>
          <cell r="BV34">
            <v>122.2622686835</v>
          </cell>
          <cell r="BW34">
            <v>220.51022944041</v>
          </cell>
          <cell r="BX34">
            <v>370.66022944041003</v>
          </cell>
          <cell r="BY34">
            <v>371.16022944041003</v>
          </cell>
          <cell r="CA34">
            <v>8.5</v>
          </cell>
          <cell r="CC34">
            <v>4.9000000000000004</v>
          </cell>
          <cell r="CD34">
            <v>8.5</v>
          </cell>
          <cell r="CE34">
            <v>-3.5999999999999996</v>
          </cell>
          <cell r="CF34">
            <v>-42.35294117647058</v>
          </cell>
        </row>
        <row r="35">
          <cell r="Q35">
            <v>0</v>
          </cell>
          <cell r="R35">
            <v>0</v>
          </cell>
          <cell r="S35">
            <v>0</v>
          </cell>
          <cell r="T35">
            <v>0</v>
          </cell>
          <cell r="U35">
            <v>109.19289789080555</v>
          </cell>
          <cell r="V35">
            <v>0</v>
          </cell>
          <cell r="W35">
            <v>0</v>
          </cell>
          <cell r="X35">
            <v>0</v>
          </cell>
          <cell r="Y35">
            <v>31.230465983199998</v>
          </cell>
          <cell r="Z35">
            <v>7.9070483567900007</v>
          </cell>
          <cell r="AA35">
            <v>148.33041223079556</v>
          </cell>
          <cell r="AE35">
            <v>0</v>
          </cell>
          <cell r="AF35">
            <v>0</v>
          </cell>
          <cell r="AG35">
            <v>0</v>
          </cell>
          <cell r="AH35">
            <v>0</v>
          </cell>
          <cell r="AI35">
            <v>0</v>
          </cell>
          <cell r="AJ35">
            <v>0</v>
          </cell>
          <cell r="AK35">
            <v>111.04121000000001</v>
          </cell>
          <cell r="AL35">
            <v>0</v>
          </cell>
          <cell r="AM35">
            <v>0</v>
          </cell>
          <cell r="AN35">
            <v>0</v>
          </cell>
          <cell r="AO35">
            <v>35.310048000000002</v>
          </cell>
          <cell r="AV35">
            <v>-1.8483121091944525</v>
          </cell>
          <cell r="AW35">
            <v>0</v>
          </cell>
          <cell r="AX35">
            <v>0</v>
          </cell>
          <cell r="AY35">
            <v>0</v>
          </cell>
          <cell r="AZ35">
            <v>0</v>
          </cell>
          <cell r="BA35">
            <v>0</v>
          </cell>
          <cell r="BB35">
            <v>0</v>
          </cell>
          <cell r="BC35">
            <v>0</v>
          </cell>
          <cell r="BD35">
            <v>109.19289789080555</v>
          </cell>
          <cell r="BE35">
            <v>109.19289789080555</v>
          </cell>
          <cell r="BF35">
            <v>109.19289789080555</v>
          </cell>
          <cell r="BG35">
            <v>109.19289789080555</v>
          </cell>
          <cell r="BH35">
            <v>0</v>
          </cell>
          <cell r="BI35">
            <v>0</v>
          </cell>
          <cell r="BJ35">
            <v>0</v>
          </cell>
          <cell r="BK35">
            <v>0</v>
          </cell>
          <cell r="BL35">
            <v>0</v>
          </cell>
          <cell r="BM35">
            <v>111.04121000000001</v>
          </cell>
          <cell r="BN35">
            <v>111.04121000000001</v>
          </cell>
          <cell r="BO35">
            <v>111.04121000000001</v>
          </cell>
          <cell r="BP35">
            <v>111.04121000000001</v>
          </cell>
          <cell r="BQ35">
            <v>0</v>
          </cell>
          <cell r="BR35">
            <v>0</v>
          </cell>
          <cell r="BS35">
            <v>0</v>
          </cell>
          <cell r="BT35">
            <v>0</v>
          </cell>
          <cell r="BU35">
            <v>0</v>
          </cell>
          <cell r="BV35">
            <v>-1.8483121091944525</v>
          </cell>
          <cell r="BW35">
            <v>-1.8483121091944525</v>
          </cell>
          <cell r="BX35">
            <v>-1.8483121091944525</v>
          </cell>
          <cell r="BY35">
            <v>-1.8483121091944525</v>
          </cell>
        </row>
        <row r="36">
          <cell r="AA36">
            <v>0</v>
          </cell>
        </row>
        <row r="37">
          <cell r="L37">
            <v>113.2602</v>
          </cell>
          <cell r="M37">
            <v>0</v>
          </cell>
          <cell r="N37">
            <v>113.2602</v>
          </cell>
          <cell r="Q37">
            <v>2.3858103791129004</v>
          </cell>
          <cell r="R37">
            <v>11.887735109712438</v>
          </cell>
          <cell r="S37">
            <v>3.9755527228100003</v>
          </cell>
          <cell r="T37">
            <v>1.608286515561961</v>
          </cell>
          <cell r="U37">
            <v>10.953951305553801</v>
          </cell>
          <cell r="V37">
            <v>4.9905908851678502</v>
          </cell>
          <cell r="W37">
            <v>16.277554178399999</v>
          </cell>
          <cell r="X37">
            <v>12.998436634050623</v>
          </cell>
          <cell r="Y37">
            <v>6.4403356636901039</v>
          </cell>
          <cell r="Z37">
            <v>1.2586452902</v>
          </cell>
          <cell r="AA37">
            <v>86.454751723295459</v>
          </cell>
          <cell r="AB37">
            <v>0.10524488138947902</v>
          </cell>
          <cell r="AC37" t="str">
            <v xml:space="preserve"> </v>
          </cell>
          <cell r="AD37">
            <v>0.10524488138947902</v>
          </cell>
          <cell r="AE37">
            <v>2</v>
          </cell>
          <cell r="AF37">
            <v>2.0664580924855489</v>
          </cell>
          <cell r="AG37">
            <v>2</v>
          </cell>
          <cell r="AH37">
            <v>15</v>
          </cell>
          <cell r="AI37">
            <v>3.03890895953757</v>
          </cell>
          <cell r="AJ37">
            <v>6.320930635838149</v>
          </cell>
          <cell r="AK37">
            <v>15.0178901734104</v>
          </cell>
          <cell r="AL37">
            <v>1.7017890173410399</v>
          </cell>
          <cell r="AM37">
            <v>1.8233453757225431</v>
          </cell>
          <cell r="AN37">
            <v>10.6616286127168</v>
          </cell>
          <cell r="AO37">
            <v>11.073345375722543</v>
          </cell>
          <cell r="AP37">
            <v>9.3026672480889339</v>
          </cell>
          <cell r="AQ37">
            <v>0.30872769846130099</v>
          </cell>
          <cell r="AR37">
            <v>0.38581037911290039</v>
          </cell>
          <cell r="AS37">
            <v>-3.1122648902875625</v>
          </cell>
          <cell r="AT37">
            <v>0.93664376327243026</v>
          </cell>
          <cell r="AU37">
            <v>-4.7126441202761882</v>
          </cell>
          <cell r="AV37">
            <v>-4.0639388678565993</v>
          </cell>
          <cell r="AW37">
            <v>3.2888018678268103</v>
          </cell>
          <cell r="AX37">
            <v>14.454208802677456</v>
          </cell>
          <cell r="AY37">
            <v>13.677853039035783</v>
          </cell>
          <cell r="AZ37">
            <v>16.063663418148685</v>
          </cell>
          <cell r="BA37">
            <v>27.951398527861123</v>
          </cell>
          <cell r="BB37">
            <v>31.926951250671124</v>
          </cell>
          <cell r="BC37">
            <v>33.535237766233088</v>
          </cell>
          <cell r="BD37">
            <v>44.489189071786889</v>
          </cell>
          <cell r="BE37">
            <v>49.479779956954737</v>
          </cell>
          <cell r="BF37">
            <v>65.757334135354739</v>
          </cell>
          <cell r="BG37">
            <v>78.755770769405359</v>
          </cell>
          <cell r="BH37">
            <v>4.0664580924855489</v>
          </cell>
          <cell r="BI37">
            <v>6.0664580924855489</v>
          </cell>
          <cell r="BJ37">
            <v>21.066458092485547</v>
          </cell>
          <cell r="BK37">
            <v>24.105367052023116</v>
          </cell>
          <cell r="BL37">
            <v>30.426297687861265</v>
          </cell>
          <cell r="BM37">
            <v>45.444187861271665</v>
          </cell>
          <cell r="BN37">
            <v>47.145976878612707</v>
          </cell>
          <cell r="BO37">
            <v>48.969322254335253</v>
          </cell>
          <cell r="BP37">
            <v>59.63095086705205</v>
          </cell>
          <cell r="BQ37">
            <v>9.6113949465502344</v>
          </cell>
          <cell r="BR37">
            <v>9.9972053256631366</v>
          </cell>
          <cell r="BS37">
            <v>6.8849404353755759</v>
          </cell>
          <cell r="BT37">
            <v>7.8215841986480079</v>
          </cell>
          <cell r="BU37">
            <v>3.1089400783718233</v>
          </cell>
          <cell r="BV37">
            <v>-0.95499878948477601</v>
          </cell>
          <cell r="BW37">
            <v>2.3338030783420294</v>
          </cell>
          <cell r="BX37">
            <v>16.788011881019486</v>
          </cell>
          <cell r="BY37">
            <v>19.124819902353309</v>
          </cell>
          <cell r="BZ37">
            <v>5.7</v>
          </cell>
          <cell r="CA37">
            <v>1.9059599999999999</v>
          </cell>
          <cell r="CB37">
            <v>9.0079999999999991</v>
          </cell>
          <cell r="CC37">
            <v>16.063663418148685</v>
          </cell>
          <cell r="CD37">
            <v>16.613959999999999</v>
          </cell>
          <cell r="CE37">
            <v>-0.55029658185131325</v>
          </cell>
          <cell r="CF37">
            <v>-3.312254163675088</v>
          </cell>
        </row>
        <row r="38">
          <cell r="AX38">
            <v>0</v>
          </cell>
        </row>
        <row r="39">
          <cell r="L39">
            <v>16373.281155494238</v>
          </cell>
          <cell r="M39">
            <v>135.69999999999999</v>
          </cell>
          <cell r="N39">
            <v>16508.981155494239</v>
          </cell>
          <cell r="Q39">
            <v>1562.7831531930278</v>
          </cell>
          <cell r="R39">
            <v>1335.5517192517016</v>
          </cell>
          <cell r="S39">
            <v>1459.047491855642</v>
          </cell>
          <cell r="T39">
            <v>1159.3107929749726</v>
          </cell>
          <cell r="U39">
            <v>1597.5626542380755</v>
          </cell>
          <cell r="V39">
            <v>1158.6352938180446</v>
          </cell>
          <cell r="W39">
            <v>1776.2541291407799</v>
          </cell>
          <cell r="X39">
            <v>1148.16500459793</v>
          </cell>
          <cell r="Y39">
            <v>1326.2427183671002</v>
          </cell>
          <cell r="Z39">
            <v>1444.4205285488624</v>
          </cell>
          <cell r="AA39">
            <v>16173.372973017391</v>
          </cell>
          <cell r="AB39">
            <v>15.214559334758221</v>
          </cell>
          <cell r="AC39">
            <v>0.12609663769402049</v>
          </cell>
          <cell r="AD39">
            <v>15.340655972452241</v>
          </cell>
          <cell r="AE39">
            <v>1068.756363721712</v>
          </cell>
          <cell r="AF39">
            <v>1031.5777194433952</v>
          </cell>
          <cell r="AG39">
            <v>1690.6351448769883</v>
          </cell>
          <cell r="AH39">
            <v>1358.7798698023994</v>
          </cell>
          <cell r="AI39">
            <v>1374.4917745222101</v>
          </cell>
          <cell r="AJ39">
            <v>1179.3930006395633</v>
          </cell>
          <cell r="AK39">
            <v>1534.3171599107404</v>
          </cell>
          <cell r="AL39">
            <v>1264.4377098859882</v>
          </cell>
          <cell r="AM39">
            <v>1722.9915233872923</v>
          </cell>
          <cell r="AN39">
            <v>1132.3894454266033</v>
          </cell>
          <cell r="AO39">
            <v>1381.363855251499</v>
          </cell>
          <cell r="AP39">
            <v>71.364277281834575</v>
          </cell>
          <cell r="AQ39">
            <v>33.701126584312306</v>
          </cell>
          <cell r="AR39">
            <v>-127.85199168396048</v>
          </cell>
          <cell r="AS39">
            <v>-23.228150550697819</v>
          </cell>
          <cell r="AT39">
            <v>84.555717333431858</v>
          </cell>
          <cell r="AU39">
            <v>-20.082207664590669</v>
          </cell>
          <cell r="AV39">
            <v>63.245494327335109</v>
          </cell>
          <cell r="AW39">
            <v>-105.80241606794357</v>
          </cell>
          <cell r="AX39">
            <v>53.262605753487605</v>
          </cell>
          <cell r="AY39">
            <v>2205.399487031254</v>
          </cell>
          <cell r="AZ39">
            <v>3768.1826402242814</v>
          </cell>
          <cell r="BA39">
            <v>5103.7343594759841</v>
          </cell>
          <cell r="BB39">
            <v>6562.7818513316261</v>
          </cell>
          <cell r="BC39">
            <v>7722.0926443065982</v>
          </cell>
          <cell r="BD39">
            <v>9319.6552985446742</v>
          </cell>
          <cell r="BE39">
            <v>10478.29059236272</v>
          </cell>
          <cell r="BF39">
            <v>12254.544721503498</v>
          </cell>
          <cell r="BG39">
            <v>13402.709726101428</v>
          </cell>
          <cell r="BH39">
            <v>2100.3340831651071</v>
          </cell>
          <cell r="BI39">
            <v>3790.969228042095</v>
          </cell>
          <cell r="BJ39">
            <v>5149.7490978444939</v>
          </cell>
          <cell r="BK39">
            <v>6524.240872366704</v>
          </cell>
          <cell r="BL39">
            <v>7703.633873006268</v>
          </cell>
          <cell r="BM39">
            <v>9237.951032917008</v>
          </cell>
          <cell r="BN39">
            <v>10502.388742802996</v>
          </cell>
          <cell r="BO39">
            <v>12225.380266190288</v>
          </cell>
          <cell r="BP39">
            <v>13357.769711616891</v>
          </cell>
          <cell r="BQ39">
            <v>105.06540386614701</v>
          </cell>
          <cell r="BR39">
            <v>-22.786587817813107</v>
          </cell>
          <cell r="BS39">
            <v>-46.014738368510578</v>
          </cell>
          <cell r="BT39">
            <v>38.540978964921635</v>
          </cell>
          <cell r="BU39">
            <v>18.458771300331165</v>
          </cell>
          <cell r="BV39">
            <v>81.704265627666445</v>
          </cell>
          <cell r="BW39">
            <v>-24.098150440275276</v>
          </cell>
          <cell r="BX39">
            <v>29.164455313210055</v>
          </cell>
          <cell r="BY39">
            <v>44.940014484536732</v>
          </cell>
          <cell r="BZ39">
            <v>842.57889693999994</v>
          </cell>
          <cell r="CA39">
            <v>927.68931685999996</v>
          </cell>
          <cell r="CB39">
            <v>1208.6286885</v>
          </cell>
          <cell r="CC39">
            <v>3768.1826402242814</v>
          </cell>
          <cell r="CD39">
            <v>2978.8969023</v>
          </cell>
          <cell r="CE39">
            <v>789.28573792428142</v>
          </cell>
          <cell r="CF39">
            <v>26.495906498639666</v>
          </cell>
        </row>
        <row r="40">
          <cell r="L40">
            <v>13835.694171749044</v>
          </cell>
          <cell r="M40">
            <v>135.69999999999999</v>
          </cell>
          <cell r="N40">
            <v>13971.394171749045</v>
          </cell>
          <cell r="Q40">
            <v>1268.7220575171</v>
          </cell>
          <cell r="R40">
            <v>1092.9445943212645</v>
          </cell>
          <cell r="S40">
            <v>1295.417872444752</v>
          </cell>
          <cell r="T40">
            <v>1014.5812168482155</v>
          </cell>
          <cell r="U40">
            <v>1354.7337588262978</v>
          </cell>
          <cell r="V40">
            <v>960.02224971059331</v>
          </cell>
          <cell r="W40">
            <v>1265.1986597871232</v>
          </cell>
          <cell r="X40">
            <v>936.90342965859668</v>
          </cell>
          <cell r="Y40">
            <v>1228.3875718281001</v>
          </cell>
          <cell r="Z40">
            <v>1156.9326777232959</v>
          </cell>
          <cell r="AA40">
            <v>13489.21330987201</v>
          </cell>
          <cell r="AB40">
            <v>12.856555012677306</v>
          </cell>
          <cell r="AC40">
            <v>0.12609663769402049</v>
          </cell>
          <cell r="AD40">
            <v>12.982651650371327</v>
          </cell>
          <cell r="AE40">
            <v>929.45947908848927</v>
          </cell>
          <cell r="AF40">
            <v>892.92130767706817</v>
          </cell>
          <cell r="AG40">
            <v>1360.775263643369</v>
          </cell>
          <cell r="AH40">
            <v>1117.5272050139802</v>
          </cell>
          <cell r="AI40">
            <v>1194.5268260458204</v>
          </cell>
          <cell r="AJ40">
            <v>1015.6999489663854</v>
          </cell>
          <cell r="AK40">
            <v>1339.5282498029148</v>
          </cell>
          <cell r="AL40">
            <v>986.0998427674059</v>
          </cell>
          <cell r="AM40">
            <v>1284.7680256926667</v>
          </cell>
          <cell r="AN40">
            <v>1018.8048114522427</v>
          </cell>
          <cell r="AO40">
            <v>1305.8493420435129</v>
          </cell>
          <cell r="AP40">
            <v>72.717097568724057</v>
          </cell>
          <cell r="AQ40">
            <v>20.271336872389384</v>
          </cell>
          <cell r="AR40">
            <v>-92.05320612626906</v>
          </cell>
          <cell r="AS40">
            <v>-24.582610692715662</v>
          </cell>
          <cell r="AT40">
            <v>100.89104639893162</v>
          </cell>
          <cell r="AU40">
            <v>-1.1187321181698735</v>
          </cell>
          <cell r="AV40">
            <v>15.205509023383001</v>
          </cell>
          <cell r="AW40">
            <v>-26.077593056812589</v>
          </cell>
          <cell r="AX40">
            <v>-19.569365905543464</v>
          </cell>
          <cell r="AY40">
            <v>1915.3692212066708</v>
          </cell>
          <cell r="AZ40">
            <v>3184.0912787237703</v>
          </cell>
          <cell r="BA40">
            <v>4277.0358730450353</v>
          </cell>
          <cell r="BB40">
            <v>5572.4537454897873</v>
          </cell>
          <cell r="BC40">
            <v>6587.0349623380025</v>
          </cell>
          <cell r="BD40">
            <v>7941.7687211643015</v>
          </cell>
          <cell r="BE40">
            <v>8901.7909708748957</v>
          </cell>
          <cell r="BF40">
            <v>10166.989630662018</v>
          </cell>
          <cell r="BG40">
            <v>11103.893060320614</v>
          </cell>
          <cell r="BH40">
            <v>1822.3807867655573</v>
          </cell>
          <cell r="BI40">
            <v>3183.1560504089261</v>
          </cell>
          <cell r="BJ40">
            <v>4300.6832554229059</v>
          </cell>
          <cell r="BK40">
            <v>5495.2100814687265</v>
          </cell>
          <cell r="BL40">
            <v>6510.9100304351123</v>
          </cell>
          <cell r="BM40">
            <v>7850.4382802380269</v>
          </cell>
          <cell r="BN40">
            <v>8836.5381230054336</v>
          </cell>
          <cell r="BO40">
            <v>10121.306148698101</v>
          </cell>
          <cell r="BP40">
            <v>11140.110960150343</v>
          </cell>
          <cell r="BQ40">
            <v>92.988434441113299</v>
          </cell>
          <cell r="BR40">
            <v>0.93522831484444424</v>
          </cell>
          <cell r="BS40">
            <v>-23.647382377871011</v>
          </cell>
          <cell r="BT40">
            <v>77.243664021060852</v>
          </cell>
          <cell r="BU40">
            <v>76.124931902891007</v>
          </cell>
          <cell r="BV40">
            <v>91.330440926274349</v>
          </cell>
          <cell r="BW40">
            <v>65.25284786946213</v>
          </cell>
          <cell r="BX40">
            <v>45.683481963917075</v>
          </cell>
          <cell r="BY40">
            <v>-36.217899829729504</v>
          </cell>
          <cell r="BZ40">
            <v>791.20639199999994</v>
          </cell>
          <cell r="CA40">
            <v>742.37813659999995</v>
          </cell>
          <cell r="CB40">
            <v>1032.1294164999999</v>
          </cell>
          <cell r="CC40">
            <v>3184.0912787237703</v>
          </cell>
          <cell r="CD40">
            <v>2565.7139450999998</v>
          </cell>
          <cell r="CE40">
            <v>618.37733362377048</v>
          </cell>
          <cell r="CF40">
            <v>24.101569654900445</v>
          </cell>
        </row>
        <row r="41">
          <cell r="L41">
            <v>3039.0008549118384</v>
          </cell>
          <cell r="N41">
            <v>3039.0008549118384</v>
          </cell>
          <cell r="Q41">
            <v>229.82562720125335</v>
          </cell>
          <cell r="R41">
            <v>231.78627338494337</v>
          </cell>
          <cell r="S41">
            <v>220.36962725388335</v>
          </cell>
          <cell r="T41">
            <v>260.44324293338332</v>
          </cell>
          <cell r="U41">
            <v>322.04120313933333</v>
          </cell>
          <cell r="V41">
            <v>236.95060855333335</v>
          </cell>
          <cell r="W41">
            <v>239.19305935433331</v>
          </cell>
          <cell r="X41">
            <v>228.78283836333335</v>
          </cell>
          <cell r="Y41">
            <v>240.99025244333333</v>
          </cell>
          <cell r="Z41">
            <v>489.89481366878056</v>
          </cell>
          <cell r="AA41">
            <v>3086.9989706022366</v>
          </cell>
          <cell r="AB41">
            <v>2.8239336017217149</v>
          </cell>
          <cell r="AC41" t="str">
            <v xml:space="preserve"> </v>
          </cell>
          <cell r="AD41">
            <v>2.8239336017217149</v>
          </cell>
          <cell r="AE41">
            <v>136.05759002946508</v>
          </cell>
          <cell r="AF41">
            <v>235.99584037193952</v>
          </cell>
          <cell r="AG41">
            <v>253.06730158728695</v>
          </cell>
          <cell r="AH41">
            <v>238.41410385292349</v>
          </cell>
          <cell r="AI41">
            <v>234.579779344998</v>
          </cell>
          <cell r="AJ41">
            <v>263.55543885477232</v>
          </cell>
          <cell r="AK41">
            <v>313.56136992002473</v>
          </cell>
          <cell r="AL41">
            <v>219.88163636300035</v>
          </cell>
          <cell r="AM41">
            <v>232.67036491447831</v>
          </cell>
          <cell r="AN41">
            <v>252.64815895060499</v>
          </cell>
          <cell r="AO41">
            <v>242.8264105908535</v>
          </cell>
          <cell r="AP41">
            <v>26.681482223868272</v>
          </cell>
          <cell r="AQ41">
            <v>-12.013488318946202</v>
          </cell>
          <cell r="AR41">
            <v>-23.241674386033594</v>
          </cell>
          <cell r="AS41">
            <v>-6.6278304679801181</v>
          </cell>
          <cell r="AT41">
            <v>-14.210152091114651</v>
          </cell>
          <cell r="AU41">
            <v>-3.1121959213890023</v>
          </cell>
          <cell r="AV41">
            <v>8.4798332193086026</v>
          </cell>
          <cell r="AW41">
            <v>17.068972190333</v>
          </cell>
          <cell r="AX41">
            <v>6.5226944398550017</v>
          </cell>
          <cell r="AY41">
            <v>386.72142430632664</v>
          </cell>
          <cell r="AZ41">
            <v>616.54705150758002</v>
          </cell>
          <cell r="BA41">
            <v>848.33332489252336</v>
          </cell>
          <cell r="BB41">
            <v>1068.7029521464067</v>
          </cell>
          <cell r="BC41">
            <v>1329.14619507979</v>
          </cell>
          <cell r="BD41">
            <v>1651.1873982191232</v>
          </cell>
          <cell r="BE41">
            <v>1888.1380067724565</v>
          </cell>
          <cell r="BF41">
            <v>2127.3310661267897</v>
          </cell>
          <cell r="BG41">
            <v>2356.1139044901229</v>
          </cell>
          <cell r="BH41">
            <v>372.05343040140463</v>
          </cell>
          <cell r="BI41">
            <v>625.12073198869155</v>
          </cell>
          <cell r="BJ41">
            <v>863.53483584161506</v>
          </cell>
          <cell r="BK41">
            <v>1098.114615186613</v>
          </cell>
          <cell r="BL41">
            <v>1361.6700540413854</v>
          </cell>
          <cell r="BM41">
            <v>1675.2314239614102</v>
          </cell>
          <cell r="BN41">
            <v>1895.1130603244105</v>
          </cell>
          <cell r="BO41">
            <v>2127.7834252388889</v>
          </cell>
          <cell r="BP41">
            <v>2380.4315841894941</v>
          </cell>
          <cell r="BQ41">
            <v>14.667993904922014</v>
          </cell>
          <cell r="BR41">
            <v>-8.5736804811115235</v>
          </cell>
          <cell r="BS41">
            <v>-15.201510949091698</v>
          </cell>
          <cell r="BT41">
            <v>-29.411663040206349</v>
          </cell>
          <cell r="BU41">
            <v>-32.523858961595352</v>
          </cell>
          <cell r="BV41">
            <v>-24.044025742286976</v>
          </cell>
          <cell r="BW41">
            <v>-6.9750535519540335</v>
          </cell>
          <cell r="BX41">
            <v>-0.45235911209920232</v>
          </cell>
          <cell r="BY41">
            <v>-24.317679699371183</v>
          </cell>
          <cell r="BZ41">
            <v>145.95099999999999</v>
          </cell>
          <cell r="CA41">
            <v>215.89788499999997</v>
          </cell>
          <cell r="CB41">
            <v>186.13363699999999</v>
          </cell>
          <cell r="CC41">
            <v>616.54705150758002</v>
          </cell>
          <cell r="CD41">
            <v>547.98252200000002</v>
          </cell>
          <cell r="CE41">
            <v>68.564529507580005</v>
          </cell>
          <cell r="CF41">
            <v>12.512174522891083</v>
          </cell>
        </row>
        <row r="42">
          <cell r="L42">
            <v>1136.2711188686997</v>
          </cell>
          <cell r="M42">
            <v>135.69999999999999</v>
          </cell>
          <cell r="N42">
            <v>1271.9711188686997</v>
          </cell>
          <cell r="Q42">
            <v>114.93062309356779</v>
          </cell>
          <cell r="R42">
            <v>97.577095191947578</v>
          </cell>
          <cell r="S42">
            <v>99.839122443596651</v>
          </cell>
          <cell r="T42">
            <v>80.184636532315565</v>
          </cell>
          <cell r="U42">
            <v>78.343778427148891</v>
          </cell>
          <cell r="V42">
            <v>99.025721802846675</v>
          </cell>
          <cell r="W42">
            <v>101.61939423679334</v>
          </cell>
          <cell r="X42">
            <v>104.04936530497444</v>
          </cell>
          <cell r="Y42">
            <v>111.93020796266667</v>
          </cell>
          <cell r="Z42">
            <v>99.254814024515426</v>
          </cell>
          <cell r="AA42">
            <v>1168.2704795129862</v>
          </cell>
          <cell r="AB42">
            <v>1.0558582726467629</v>
          </cell>
          <cell r="AC42">
            <v>0.12609663769402049</v>
          </cell>
          <cell r="AD42">
            <v>1.1819549103407834</v>
          </cell>
          <cell r="AE42">
            <v>38.699802558668416</v>
          </cell>
          <cell r="AF42">
            <v>119.90133607843137</v>
          </cell>
          <cell r="AG42">
            <v>90.284681960784297</v>
          </cell>
          <cell r="AH42">
            <v>72.295434640522842</v>
          </cell>
          <cell r="AI42">
            <v>91.401886405228737</v>
          </cell>
          <cell r="AJ42">
            <v>98.853333464052255</v>
          </cell>
          <cell r="AK42">
            <v>94.987434744842744</v>
          </cell>
          <cell r="AL42">
            <v>64.019107991242834</v>
          </cell>
          <cell r="AM42">
            <v>102.54403622653696</v>
          </cell>
          <cell r="AN42">
            <v>155.55366199584154</v>
          </cell>
          <cell r="AO42">
            <v>157.82449287581693</v>
          </cell>
          <cell r="AP42">
            <v>30.696783632878258</v>
          </cell>
          <cell r="AQ42">
            <v>-7.7822017773646905</v>
          </cell>
          <cell r="AR42">
            <v>24.645941132783491</v>
          </cell>
          <cell r="AS42">
            <v>25.281660551424736</v>
          </cell>
          <cell r="AT42">
            <v>8.4372360383679137</v>
          </cell>
          <cell r="AU42">
            <v>-18.66869693173669</v>
          </cell>
          <cell r="AV42">
            <v>-16.643656317693853</v>
          </cell>
          <cell r="AW42">
            <v>35.006613811603842</v>
          </cell>
          <cell r="AX42">
            <v>-0.92464198974361977</v>
          </cell>
          <cell r="AY42">
            <v>181.51572049261338</v>
          </cell>
          <cell r="AZ42">
            <v>296.44634358618117</v>
          </cell>
          <cell r="BA42">
            <v>394.02343877812871</v>
          </cell>
          <cell r="BB42">
            <v>493.8625612217254</v>
          </cell>
          <cell r="BC42">
            <v>574.04719775404089</v>
          </cell>
          <cell r="BD42">
            <v>652.39097618118979</v>
          </cell>
          <cell r="BE42">
            <v>751.41669798403655</v>
          </cell>
          <cell r="BF42">
            <v>853.0360922208298</v>
          </cell>
          <cell r="BG42">
            <v>957.08545752580426</v>
          </cell>
          <cell r="BH42">
            <v>158.60113863709981</v>
          </cell>
          <cell r="BI42">
            <v>248.88582059788411</v>
          </cell>
          <cell r="BJ42">
            <v>321.18125523840695</v>
          </cell>
          <cell r="BK42">
            <v>412.58314164363571</v>
          </cell>
          <cell r="BL42">
            <v>511.43647510768795</v>
          </cell>
          <cell r="BM42">
            <v>606.42390985253064</v>
          </cell>
          <cell r="BN42">
            <v>670.44301784377353</v>
          </cell>
          <cell r="BO42">
            <v>772.98705407031048</v>
          </cell>
          <cell r="BP42">
            <v>928.54071606615207</v>
          </cell>
          <cell r="BQ42">
            <v>22.914581855513553</v>
          </cell>
          <cell r="BR42">
            <v>47.560522988297038</v>
          </cell>
          <cell r="BS42">
            <v>72.842183539721773</v>
          </cell>
          <cell r="BT42">
            <v>81.279419578089701</v>
          </cell>
          <cell r="BU42">
            <v>62.61072264635299</v>
          </cell>
          <cell r="BV42">
            <v>45.967066328659151</v>
          </cell>
          <cell r="BW42">
            <v>80.973680140263014</v>
          </cell>
          <cell r="BX42">
            <v>80.049038150519323</v>
          </cell>
          <cell r="BY42">
            <v>28.544741459652187</v>
          </cell>
          <cell r="BZ42">
            <v>22.829712000000001</v>
          </cell>
          <cell r="CA42">
            <v>98.086211399999996</v>
          </cell>
          <cell r="CB42">
            <v>88.478014999999999</v>
          </cell>
          <cell r="CC42">
            <v>296.44634358618117</v>
          </cell>
          <cell r="CD42">
            <v>209.3939384</v>
          </cell>
          <cell r="CE42">
            <v>87.052405186181176</v>
          </cell>
          <cell r="CF42">
            <v>41.573507739219821</v>
          </cell>
        </row>
        <row r="43">
          <cell r="L43">
            <v>345.9</v>
          </cell>
          <cell r="M43">
            <v>135.69999999999999</v>
          </cell>
          <cell r="N43">
            <v>481.59999999999997</v>
          </cell>
          <cell r="Q43">
            <v>26.136318601111117</v>
          </cell>
          <cell r="R43">
            <v>28.111831709090907</v>
          </cell>
          <cell r="S43">
            <v>10.912967109</v>
          </cell>
          <cell r="T43">
            <v>10.992378753888888</v>
          </cell>
          <cell r="U43">
            <v>12.36558303222222</v>
          </cell>
          <cell r="V43">
            <v>49.993232800000001</v>
          </cell>
          <cell r="W43">
            <v>32.539151746666668</v>
          </cell>
          <cell r="X43">
            <v>28.857724697777776</v>
          </cell>
          <cell r="Y43">
            <v>28.824999999999999</v>
          </cell>
          <cell r="Z43">
            <v>28.824999999999999</v>
          </cell>
          <cell r="AA43">
            <v>316.25375747975755</v>
          </cell>
          <cell r="AB43">
            <v>0.32142097994371183</v>
          </cell>
          <cell r="AC43">
            <v>0.12609663769402049</v>
          </cell>
          <cell r="AD43">
            <v>0.44751761763773235</v>
          </cell>
          <cell r="AE43">
            <v>0.38659411764705881</v>
          </cell>
          <cell r="AF43">
            <v>29.059669411764705</v>
          </cell>
          <cell r="AG43">
            <v>6.7430152941176473</v>
          </cell>
          <cell r="AH43">
            <v>6.4093235294117639</v>
          </cell>
          <cell r="AI43">
            <v>12.415775294117648</v>
          </cell>
          <cell r="AJ43">
            <v>22.467222352941175</v>
          </cell>
          <cell r="AK43">
            <v>29.995634117647054</v>
          </cell>
          <cell r="AL43">
            <v>14.698715294117646</v>
          </cell>
          <cell r="AM43">
            <v>28.823643529411765</v>
          </cell>
          <cell r="AN43">
            <v>28.823643529411765</v>
          </cell>
          <cell r="AO43">
            <v>83.038381764705875</v>
          </cell>
          <cell r="AP43">
            <v>34.455825252352952</v>
          </cell>
          <cell r="AQ43">
            <v>-5.2075197517646998</v>
          </cell>
          <cell r="AR43">
            <v>19.39330330699347</v>
          </cell>
          <cell r="AS43">
            <v>21.702508179679143</v>
          </cell>
          <cell r="AT43">
            <v>-1.5028081851176474</v>
          </cell>
          <cell r="AU43">
            <v>-11.474843599052287</v>
          </cell>
          <cell r="AV43">
            <v>-17.630051085424832</v>
          </cell>
          <cell r="AW43">
            <v>35.294517505882354</v>
          </cell>
          <cell r="AX43">
            <v>3.7155082172549037</v>
          </cell>
          <cell r="AY43">
            <v>58.694569030000011</v>
          </cell>
          <cell r="AZ43">
            <v>84.830887631111125</v>
          </cell>
          <cell r="BA43">
            <v>112.94271934020203</v>
          </cell>
          <cell r="BB43">
            <v>123.85568644920204</v>
          </cell>
          <cell r="BC43">
            <v>134.84806520309093</v>
          </cell>
          <cell r="BD43">
            <v>147.21364823531314</v>
          </cell>
          <cell r="BE43">
            <v>197.20688103531313</v>
          </cell>
          <cell r="BF43">
            <v>229.74603278197981</v>
          </cell>
          <cell r="BG43">
            <v>258.60375747975758</v>
          </cell>
          <cell r="BH43">
            <v>29.446263529411763</v>
          </cell>
          <cell r="BI43">
            <v>36.189278823529406</v>
          </cell>
          <cell r="BJ43">
            <v>42.598602352941171</v>
          </cell>
          <cell r="BK43">
            <v>55.014377647058822</v>
          </cell>
          <cell r="BL43">
            <v>77.4816</v>
          </cell>
          <cell r="BM43">
            <v>107.47723411764706</v>
          </cell>
          <cell r="BN43">
            <v>122.17594941176471</v>
          </cell>
          <cell r="BO43">
            <v>150.99959294117647</v>
          </cell>
          <cell r="BP43">
            <v>179.82323647058823</v>
          </cell>
          <cell r="BQ43">
            <v>29.248305500588248</v>
          </cell>
          <cell r="BR43">
            <v>48.641608807581719</v>
          </cell>
          <cell r="BS43">
            <v>70.344116987260861</v>
          </cell>
          <cell r="BT43">
            <v>68.841308802143217</v>
          </cell>
          <cell r="BU43">
            <v>57.366465203090925</v>
          </cell>
          <cell r="BV43">
            <v>39.736414117666087</v>
          </cell>
          <cell r="BW43">
            <v>75.030931623548426</v>
          </cell>
          <cell r="BX43">
            <v>78.746439840803333</v>
          </cell>
          <cell r="BY43">
            <v>78.780521009169348</v>
          </cell>
          <cell r="BZ43">
            <v>7.5627120000000003</v>
          </cell>
          <cell r="CA43">
            <v>26.583966399999994</v>
          </cell>
          <cell r="CB43">
            <v>8.624015</v>
          </cell>
          <cell r="CC43">
            <v>84.830887631111125</v>
          </cell>
          <cell r="CD43">
            <v>42.770693399999992</v>
          </cell>
          <cell r="CE43">
            <v>42.060194231111133</v>
          </cell>
          <cell r="CF43">
            <v>98.338817745496598</v>
          </cell>
        </row>
        <row r="44">
          <cell r="Q44">
            <v>88.794304492456675</v>
          </cell>
          <cell r="R44">
            <v>69.46526348285667</v>
          </cell>
          <cell r="S44">
            <v>88.926155334596658</v>
          </cell>
          <cell r="T44">
            <v>69.192257778426679</v>
          </cell>
          <cell r="U44">
            <v>65.978195394926672</v>
          </cell>
          <cell r="V44">
            <v>49.032489002846667</v>
          </cell>
          <cell r="W44">
            <v>69.080242490126665</v>
          </cell>
          <cell r="X44">
            <v>75.191640607196675</v>
          </cell>
          <cell r="Y44">
            <v>83.105207962666668</v>
          </cell>
          <cell r="Z44">
            <v>70.429814024515423</v>
          </cell>
          <cell r="AA44">
            <v>852.01672203322869</v>
          </cell>
          <cell r="AE44">
            <v>38.313208441021359</v>
          </cell>
          <cell r="AF44">
            <v>90.841666666666669</v>
          </cell>
          <cell r="AG44">
            <v>83.541666666666657</v>
          </cell>
          <cell r="AH44">
            <v>65.886111111111077</v>
          </cell>
          <cell r="AI44">
            <v>78.986111111111086</v>
          </cell>
          <cell r="AJ44">
            <v>76.386111111111077</v>
          </cell>
          <cell r="AK44">
            <v>64.991800627195687</v>
          </cell>
          <cell r="AL44">
            <v>49.320392697125179</v>
          </cell>
          <cell r="AM44">
            <v>73.720392697125192</v>
          </cell>
          <cell r="AN44">
            <v>126.73001846642978</v>
          </cell>
          <cell r="AO44">
            <v>74.786111111111069</v>
          </cell>
          <cell r="AP44">
            <v>-3.7590416194746936</v>
          </cell>
          <cell r="AQ44">
            <v>-2.5746820255999978</v>
          </cell>
          <cell r="AR44">
            <v>5.2526378257900177</v>
          </cell>
          <cell r="AS44">
            <v>3.5791523717455931</v>
          </cell>
          <cell r="AT44">
            <v>9.9400442234855717</v>
          </cell>
          <cell r="AU44">
            <v>-7.1938533326843981</v>
          </cell>
          <cell r="AV44">
            <v>0.98639476773098522</v>
          </cell>
          <cell r="AW44">
            <v>-0.28790369427851203</v>
          </cell>
          <cell r="AX44">
            <v>-4.640150206998527</v>
          </cell>
          <cell r="AY44">
            <v>122.82115146261334</v>
          </cell>
          <cell r="AZ44">
            <v>211.61545595507002</v>
          </cell>
          <cell r="BA44">
            <v>281.08071943792669</v>
          </cell>
          <cell r="BB44">
            <v>370.00687477252336</v>
          </cell>
          <cell r="BC44">
            <v>439.19913255095003</v>
          </cell>
          <cell r="BD44">
            <v>505.1773279458767</v>
          </cell>
          <cell r="BE44">
            <v>554.20981694872341</v>
          </cell>
          <cell r="BF44">
            <v>623.29005943884999</v>
          </cell>
          <cell r="BG44">
            <v>698.48170004604663</v>
          </cell>
          <cell r="BH44">
            <v>129.15487510768804</v>
          </cell>
          <cell r="BI44">
            <v>212.6965417743547</v>
          </cell>
          <cell r="BJ44">
            <v>278.58265288546579</v>
          </cell>
          <cell r="BK44">
            <v>357.56876399657688</v>
          </cell>
          <cell r="BL44">
            <v>433.95487510768794</v>
          </cell>
          <cell r="BM44">
            <v>498.94667573488363</v>
          </cell>
          <cell r="BN44">
            <v>548.26706843200884</v>
          </cell>
          <cell r="BO44">
            <v>621.98746112913409</v>
          </cell>
          <cell r="BP44">
            <v>748.71747959556387</v>
          </cell>
          <cell r="BQ44">
            <v>-6.3337236450746959</v>
          </cell>
          <cell r="BR44">
            <v>-1.0810858192846786</v>
          </cell>
          <cell r="BS44">
            <v>2.498066552460906</v>
          </cell>
          <cell r="BT44">
            <v>12.438110775946482</v>
          </cell>
          <cell r="BU44">
            <v>5.2442574432620646</v>
          </cell>
          <cell r="BV44">
            <v>6.2306522109930658</v>
          </cell>
          <cell r="BW44">
            <v>5.9427485167145733</v>
          </cell>
          <cell r="BX44">
            <v>1.3025983097159042</v>
          </cell>
          <cell r="BY44">
            <v>-50.235779549517247</v>
          </cell>
          <cell r="BZ44">
            <v>15.266999999999999</v>
          </cell>
          <cell r="CA44">
            <v>71.502245000000002</v>
          </cell>
          <cell r="CB44">
            <v>79.853999999999999</v>
          </cell>
          <cell r="CC44">
            <v>211.61545595507002</v>
          </cell>
          <cell r="CD44">
            <v>166.623245</v>
          </cell>
          <cell r="CE44">
            <v>44.992210955070021</v>
          </cell>
          <cell r="CF44">
            <v>27.002361498283168</v>
          </cell>
        </row>
        <row r="45">
          <cell r="G45" t="str">
            <v xml:space="preserve">  Pagos Tesorería</v>
          </cell>
          <cell r="L45">
            <v>788.57572886869968</v>
          </cell>
          <cell r="N45">
            <v>788.57572886869968</v>
          </cell>
          <cell r="O45">
            <v>33.485464796666669</v>
          </cell>
          <cell r="P45">
            <v>88.228597405366671</v>
          </cell>
          <cell r="Q45">
            <v>87.873993407506674</v>
          </cell>
          <cell r="R45">
            <v>69.338785109096676</v>
          </cell>
          <cell r="S45">
            <v>88.053497958206663</v>
          </cell>
          <cell r="T45">
            <v>68.571828354016674</v>
          </cell>
          <cell r="U45">
            <v>62.220111285406666</v>
          </cell>
          <cell r="V45">
            <v>48.592906006636667</v>
          </cell>
          <cell r="W45">
            <v>68.960692307966667</v>
          </cell>
          <cell r="X45">
            <v>75.109252106666673</v>
          </cell>
          <cell r="Y45">
            <v>82.925245816666674</v>
          </cell>
          <cell r="Z45">
            <v>70.429814024515423</v>
          </cell>
          <cell r="AA45">
            <v>843.7901885787187</v>
          </cell>
          <cell r="AB45">
            <v>0.73276896077711551</v>
          </cell>
          <cell r="AC45" t="str">
            <v xml:space="preserve"> </v>
          </cell>
          <cell r="AD45">
            <v>0.73276896077711551</v>
          </cell>
          <cell r="AE45">
            <v>38.313208441021359</v>
          </cell>
          <cell r="AF45">
            <v>90.841666666666669</v>
          </cell>
          <cell r="AG45">
            <v>83.541666666666657</v>
          </cell>
          <cell r="AH45">
            <v>65.886111111111077</v>
          </cell>
          <cell r="AI45">
            <v>78.986111111111086</v>
          </cell>
          <cell r="AJ45">
            <v>76.386111111111077</v>
          </cell>
          <cell r="AK45">
            <v>56.38611111111107</v>
          </cell>
          <cell r="AL45">
            <v>47.88611111111107</v>
          </cell>
          <cell r="AM45">
            <v>72.286111111111083</v>
          </cell>
          <cell r="AN45">
            <v>58.88611111111107</v>
          </cell>
          <cell r="AO45">
            <v>74.786111111111069</v>
          </cell>
          <cell r="AP45">
            <v>-4.8277436443546904</v>
          </cell>
          <cell r="AQ45">
            <v>-2.6130692612999979</v>
          </cell>
          <cell r="AR45">
            <v>4.332326740840017</v>
          </cell>
          <cell r="AS45">
            <v>3.4526739979855989</v>
          </cell>
          <cell r="AT45">
            <v>9.0673868470955767</v>
          </cell>
          <cell r="AU45">
            <v>-7.8142827570944036</v>
          </cell>
          <cell r="AV45">
            <v>5.8340001742955963</v>
          </cell>
          <cell r="AW45">
            <v>0.70679489552559716</v>
          </cell>
          <cell r="AX45">
            <v>-3.3254188031444158</v>
          </cell>
          <cell r="AY45">
            <v>121.71406220203335</v>
          </cell>
          <cell r="AZ45">
            <v>209.58805560954002</v>
          </cell>
          <cell r="BA45">
            <v>278.9268407186367</v>
          </cell>
          <cell r="BB45">
            <v>366.98033867684336</v>
          </cell>
          <cell r="BC45">
            <v>435.55216703086001</v>
          </cell>
          <cell r="BD45">
            <v>497.77227831626669</v>
          </cell>
          <cell r="BE45">
            <v>546.36518432290336</v>
          </cell>
          <cell r="BF45">
            <v>615.32587663086997</v>
          </cell>
          <cell r="BG45">
            <v>690.43512873753662</v>
          </cell>
          <cell r="BH45">
            <v>129.15487510768804</v>
          </cell>
          <cell r="BI45">
            <v>212.6965417743547</v>
          </cell>
          <cell r="BJ45">
            <v>278.58265288546579</v>
          </cell>
          <cell r="BK45">
            <v>357.56876399657688</v>
          </cell>
          <cell r="BL45">
            <v>433.95487510768794</v>
          </cell>
          <cell r="BM45">
            <v>490.340986218799</v>
          </cell>
          <cell r="BN45">
            <v>538.22709732991007</v>
          </cell>
          <cell r="BO45">
            <v>610.51320844102111</v>
          </cell>
          <cell r="BP45">
            <v>669.39931955213217</v>
          </cell>
          <cell r="BQ45">
            <v>-7.4408129056546954</v>
          </cell>
          <cell r="BR45">
            <v>-3.1084861648146784</v>
          </cell>
          <cell r="BS45">
            <v>0.34418783317090629</v>
          </cell>
          <cell r="BT45">
            <v>9.411574680266483</v>
          </cell>
          <cell r="BU45">
            <v>1.5972919231720653</v>
          </cell>
          <cell r="BV45">
            <v>7.4312920974676899</v>
          </cell>
          <cell r="BW45">
            <v>8.1380869929932942</v>
          </cell>
          <cell r="BX45">
            <v>4.8126681898488641</v>
          </cell>
          <cell r="BY45">
            <v>21.035809185404446</v>
          </cell>
          <cell r="BZ45">
            <v>15.266999999999999</v>
          </cell>
          <cell r="CA45">
            <v>69.202245000000005</v>
          </cell>
          <cell r="CB45">
            <v>77.554000000000002</v>
          </cell>
          <cell r="CC45">
            <v>209.58805560954002</v>
          </cell>
          <cell r="CD45">
            <v>162.023245</v>
          </cell>
          <cell r="CE45">
            <v>47.564810609540018</v>
          </cell>
          <cell r="CF45">
            <v>29.356781867651161</v>
          </cell>
        </row>
        <row r="46">
          <cell r="G46" t="str">
            <v xml:space="preserve">  Otros Pagos</v>
          </cell>
          <cell r="L46">
            <v>1.79539</v>
          </cell>
          <cell r="N46">
            <v>1.79539</v>
          </cell>
          <cell r="O46">
            <v>1.0687020248799999</v>
          </cell>
          <cell r="P46">
            <v>3.8387235699999994E-2</v>
          </cell>
          <cell r="Q46">
            <v>0.92031108495000002</v>
          </cell>
          <cell r="R46">
            <v>0.12647837375999998</v>
          </cell>
          <cell r="S46">
            <v>0.87265737638999985</v>
          </cell>
          <cell r="T46">
            <v>0.62042942440999915</v>
          </cell>
          <cell r="U46">
            <v>3.7580841095200004</v>
          </cell>
          <cell r="V46">
            <v>0.43958299621000002</v>
          </cell>
          <cell r="W46">
            <v>0.11955018215999999</v>
          </cell>
          <cell r="X46">
            <v>8.2388500529999992E-2</v>
          </cell>
          <cell r="Y46">
            <v>0.17996214599999999</v>
          </cell>
          <cell r="Z46">
            <v>0</v>
          </cell>
          <cell r="AA46">
            <v>8.2265334545099993</v>
          </cell>
          <cell r="AB46">
            <v>1.6683319259356486E-3</v>
          </cell>
          <cell r="AC46" t="str">
            <v xml:space="preserve"> </v>
          </cell>
          <cell r="AD46">
            <v>1.6683319259356486E-3</v>
          </cell>
          <cell r="AE46">
            <v>0</v>
          </cell>
          <cell r="AF46">
            <v>0</v>
          </cell>
          <cell r="AG46">
            <v>0</v>
          </cell>
          <cell r="AH46">
            <v>0</v>
          </cell>
          <cell r="AI46">
            <v>0</v>
          </cell>
          <cell r="AJ46">
            <v>0</v>
          </cell>
          <cell r="AK46">
            <v>8.6056895160846238</v>
          </cell>
          <cell r="AL46">
            <v>1.4342815860141087</v>
          </cell>
          <cell r="AM46">
            <v>1.4342815860141087</v>
          </cell>
          <cell r="AN46">
            <v>67.84390735531872</v>
          </cell>
          <cell r="AO46">
            <v>0</v>
          </cell>
          <cell r="AP46">
            <v>1.0687020248799999</v>
          </cell>
          <cell r="AQ46">
            <v>3.8387235699999994E-2</v>
          </cell>
          <cell r="AR46">
            <v>0.92031108495000002</v>
          </cell>
          <cell r="AS46">
            <v>0.12647837375999998</v>
          </cell>
          <cell r="AT46">
            <v>0.87265737638999985</v>
          </cell>
          <cell r="AU46">
            <v>0.62042942440999915</v>
          </cell>
          <cell r="AV46">
            <v>-4.8476054065646235</v>
          </cell>
          <cell r="AW46">
            <v>-0.99469858980410875</v>
          </cell>
          <cell r="AX46">
            <v>-1.3147314038541087</v>
          </cell>
          <cell r="AY46">
            <v>1.1070892605799998</v>
          </cell>
          <cell r="AZ46">
            <v>2.0274003455299998</v>
          </cell>
          <cell r="BA46">
            <v>2.1538787192899997</v>
          </cell>
          <cell r="BB46">
            <v>3.0265360956799996</v>
          </cell>
          <cell r="BC46">
            <v>3.6469655200899989</v>
          </cell>
          <cell r="BD46">
            <v>7.4050496296099997</v>
          </cell>
          <cell r="BE46">
            <v>7.8446326258200001</v>
          </cell>
          <cell r="BF46">
            <v>7.9641828079800003</v>
          </cell>
          <cell r="BG46">
            <v>8.0465713085099999</v>
          </cell>
          <cell r="BH46">
            <v>0</v>
          </cell>
          <cell r="BI46">
            <v>0</v>
          </cell>
          <cell r="BJ46">
            <v>0</v>
          </cell>
          <cell r="BK46">
            <v>0</v>
          </cell>
          <cell r="BL46">
            <v>0</v>
          </cell>
          <cell r="BM46">
            <v>8.6056895160846238</v>
          </cell>
          <cell r="BN46">
            <v>10.039971102098733</v>
          </cell>
          <cell r="BO46">
            <v>11.474252688112841</v>
          </cell>
          <cell r="BP46">
            <v>79.318160043431561</v>
          </cell>
          <cell r="BQ46">
            <v>1.1070892605799998</v>
          </cell>
          <cell r="BR46">
            <v>2.0274003455299998</v>
          </cell>
          <cell r="BS46">
            <v>2.1538787192899997</v>
          </cell>
          <cell r="BT46">
            <v>3.0265360956799996</v>
          </cell>
          <cell r="BU46">
            <v>3.6469655200899989</v>
          </cell>
          <cell r="BV46">
            <v>-1.2006398864746242</v>
          </cell>
          <cell r="BW46">
            <v>-2.1953384762787325</v>
          </cell>
          <cell r="BX46">
            <v>-3.5100698801328409</v>
          </cell>
          <cell r="BY46">
            <v>-71.271588734921565</v>
          </cell>
          <cell r="BZ46">
            <v>0</v>
          </cell>
          <cell r="CA46">
            <v>2.2999999999999998</v>
          </cell>
          <cell r="CB46">
            <v>2.2999999999999998</v>
          </cell>
          <cell r="CC46">
            <v>2.0274003455299998</v>
          </cell>
          <cell r="CD46">
            <v>4.5999999999999996</v>
          </cell>
          <cell r="CE46">
            <v>-2.5725996544699998</v>
          </cell>
          <cell r="CF46">
            <v>-55.926079444999999</v>
          </cell>
        </row>
        <row r="47">
          <cell r="L47">
            <v>9660.4221979685062</v>
          </cell>
          <cell r="M47">
            <v>0</v>
          </cell>
          <cell r="N47">
            <v>9660.4221979685062</v>
          </cell>
          <cell r="Q47">
            <v>923.96580722227884</v>
          </cell>
          <cell r="R47">
            <v>763.58122574437368</v>
          </cell>
          <cell r="S47">
            <v>975.20912274727209</v>
          </cell>
          <cell r="T47">
            <v>673.95333738251657</v>
          </cell>
          <cell r="U47">
            <v>954.34877725981562</v>
          </cell>
          <cell r="V47">
            <v>624.04591935441329</v>
          </cell>
          <cell r="W47">
            <v>924.38620619599646</v>
          </cell>
          <cell r="X47">
            <v>604.07122599028889</v>
          </cell>
          <cell r="Y47">
            <v>875.46711142210006</v>
          </cell>
          <cell r="Z47">
            <v>567.78305003000003</v>
          </cell>
          <cell r="AA47">
            <v>9233.943859756786</v>
          </cell>
          <cell r="AB47">
            <v>8.9767631383088275</v>
          </cell>
          <cell r="AC47" t="str">
            <v xml:space="preserve"> </v>
          </cell>
          <cell r="AD47">
            <v>8.9767631383088275</v>
          </cell>
          <cell r="AE47">
            <v>754.70208650035579</v>
          </cell>
          <cell r="AF47">
            <v>537.02413122669725</v>
          </cell>
          <cell r="AG47">
            <v>1017.4232800952977</v>
          </cell>
          <cell r="AH47">
            <v>806.81766652053375</v>
          </cell>
          <cell r="AI47">
            <v>868.54516029559363</v>
          </cell>
          <cell r="AJ47">
            <v>653.29117664756075</v>
          </cell>
          <cell r="AK47">
            <v>930.97944513804737</v>
          </cell>
          <cell r="AL47">
            <v>702.19909841316269</v>
          </cell>
          <cell r="AM47">
            <v>949.55362455165141</v>
          </cell>
          <cell r="AN47">
            <v>610.60299050579613</v>
          </cell>
          <cell r="AO47">
            <v>905.19843857684236</v>
          </cell>
          <cell r="AP47">
            <v>15.338831711977491</v>
          </cell>
          <cell r="AQ47">
            <v>40.067026968700247</v>
          </cell>
          <cell r="AR47">
            <v>-93.457472873018901</v>
          </cell>
          <cell r="AS47">
            <v>-43.236440776160066</v>
          </cell>
          <cell r="AT47">
            <v>106.66396245167846</v>
          </cell>
          <cell r="AU47">
            <v>20.662160734955819</v>
          </cell>
          <cell r="AV47">
            <v>23.369332121768252</v>
          </cell>
          <cell r="AW47">
            <v>-78.153179058749402</v>
          </cell>
          <cell r="AX47">
            <v>-25.167418355654945</v>
          </cell>
          <cell r="AY47">
            <v>1347.1320764077307</v>
          </cell>
          <cell r="AZ47">
            <v>2271.0978836300092</v>
          </cell>
          <cell r="BA47">
            <v>3034.6791093743832</v>
          </cell>
          <cell r="BB47">
            <v>4009.8882321216556</v>
          </cell>
          <cell r="BC47">
            <v>4683.8415695041722</v>
          </cell>
          <cell r="BD47">
            <v>5638.1903467639886</v>
          </cell>
          <cell r="BE47">
            <v>6262.2362661184015</v>
          </cell>
          <cell r="BF47">
            <v>7186.6224723143978</v>
          </cell>
          <cell r="BG47">
            <v>7790.6936983046862</v>
          </cell>
          <cell r="BH47">
            <v>1291.7262177270529</v>
          </cell>
          <cell r="BI47">
            <v>2309.1494978223504</v>
          </cell>
          <cell r="BJ47">
            <v>3115.9671643428842</v>
          </cell>
          <cell r="BK47">
            <v>3984.5123246384778</v>
          </cell>
          <cell r="BL47">
            <v>4637.8035012860391</v>
          </cell>
          <cell r="BM47">
            <v>5568.7829464240858</v>
          </cell>
          <cell r="BN47">
            <v>6270.9820448372493</v>
          </cell>
          <cell r="BO47">
            <v>7220.5356693889007</v>
          </cell>
          <cell r="BP47">
            <v>7831.1386598946965</v>
          </cell>
          <cell r="BQ47">
            <v>55.405858680677731</v>
          </cell>
          <cell r="BR47">
            <v>-38.05161419234107</v>
          </cell>
          <cell r="BS47">
            <v>-81.288054968501086</v>
          </cell>
          <cell r="BT47">
            <v>25.375907483177507</v>
          </cell>
          <cell r="BU47">
            <v>46.038068218133375</v>
          </cell>
          <cell r="BV47">
            <v>69.407400339902168</v>
          </cell>
          <cell r="BW47">
            <v>-8.7457787188477596</v>
          </cell>
          <cell r="BX47">
            <v>-33.913197074502932</v>
          </cell>
          <cell r="BY47">
            <v>-40.44496159001028</v>
          </cell>
          <cell r="BZ47">
            <v>622.42567999999994</v>
          </cell>
          <cell r="CA47">
            <v>428.39404019999995</v>
          </cell>
          <cell r="CB47">
            <v>757.51776449999988</v>
          </cell>
          <cell r="CC47">
            <v>2271.0978836300092</v>
          </cell>
          <cell r="CD47">
            <v>1808.3374846999998</v>
          </cell>
          <cell r="CE47">
            <v>462.76039893000939</v>
          </cell>
          <cell r="CF47">
            <v>25.590378059700548</v>
          </cell>
        </row>
        <row r="48">
          <cell r="G48" t="str">
            <v>Pagos de Tesorería</v>
          </cell>
          <cell r="L48">
            <v>9136.2682832986175</v>
          </cell>
          <cell r="N48">
            <v>9136.2682832986175</v>
          </cell>
          <cell r="O48">
            <v>758.2664752733333</v>
          </cell>
          <cell r="P48">
            <v>522.75099553439748</v>
          </cell>
          <cell r="Q48">
            <v>911.1945479559455</v>
          </cell>
          <cell r="R48">
            <v>754.83617747001006</v>
          </cell>
          <cell r="S48">
            <v>949.13048394929172</v>
          </cell>
          <cell r="T48">
            <v>631.98930914062771</v>
          </cell>
          <cell r="U48">
            <v>913.35740327059341</v>
          </cell>
          <cell r="V48">
            <v>568.97598091274665</v>
          </cell>
          <cell r="W48">
            <v>891.62743001266313</v>
          </cell>
          <cell r="X48">
            <v>570.29130542851112</v>
          </cell>
          <cell r="Y48">
            <v>847.50924078176672</v>
          </cell>
          <cell r="Z48">
            <v>544.375</v>
          </cell>
          <cell r="AA48">
            <v>8864.3043497298877</v>
          </cell>
          <cell r="AB48">
            <v>8.4897031068126498</v>
          </cell>
          <cell r="AC48" t="str">
            <v xml:space="preserve"> </v>
          </cell>
          <cell r="AD48">
            <v>8.4897031068126498</v>
          </cell>
          <cell r="AE48">
            <v>751.96380764877688</v>
          </cell>
          <cell r="AF48">
            <v>497.77500000000003</v>
          </cell>
          <cell r="AG48">
            <v>1008.3259613790808</v>
          </cell>
          <cell r="AH48">
            <v>790.63245898688047</v>
          </cell>
          <cell r="AI48">
            <v>855.45331935734202</v>
          </cell>
          <cell r="AJ48">
            <v>580.51847838184017</v>
          </cell>
          <cell r="AK48">
            <v>906.4337875980093</v>
          </cell>
          <cell r="AL48">
            <v>560.89451486390112</v>
          </cell>
          <cell r="AM48">
            <v>880.88325931616509</v>
          </cell>
          <cell r="AN48">
            <v>574.82120418614329</v>
          </cell>
          <cell r="AO48">
            <v>862.19109527811634</v>
          </cell>
          <cell r="AP48">
            <v>6.3026676245564204</v>
          </cell>
          <cell r="AQ48">
            <v>24.975995534397441</v>
          </cell>
          <cell r="AR48">
            <v>-97.131413423135314</v>
          </cell>
          <cell r="AS48">
            <v>-35.796281516870408</v>
          </cell>
          <cell r="AT48">
            <v>93.67716459194969</v>
          </cell>
          <cell r="AU48">
            <v>51.470830758787542</v>
          </cell>
          <cell r="AV48">
            <v>6.9236156725841056</v>
          </cell>
          <cell r="AW48">
            <v>8.0814660488455274</v>
          </cell>
          <cell r="AX48">
            <v>10.744170696498031</v>
          </cell>
          <cell r="AY48">
            <v>1281.0174708077307</v>
          </cell>
          <cell r="AZ48">
            <v>2192.212018763676</v>
          </cell>
          <cell r="BA48">
            <v>2947.0481962336862</v>
          </cell>
          <cell r="BB48">
            <v>3896.178680182978</v>
          </cell>
          <cell r="BC48">
            <v>4528.167989323606</v>
          </cell>
          <cell r="BD48">
            <v>5441.5253925941997</v>
          </cell>
          <cell r="BE48">
            <v>6010.501373506946</v>
          </cell>
          <cell r="BF48">
            <v>6902.1288035196094</v>
          </cell>
          <cell r="BG48">
            <v>7472.4201089481203</v>
          </cell>
          <cell r="BH48">
            <v>1249.7388076487769</v>
          </cell>
          <cell r="BI48">
            <v>2258.0647690278574</v>
          </cell>
          <cell r="BJ48">
            <v>3048.6972280147379</v>
          </cell>
          <cell r="BK48">
            <v>3904.1505473720799</v>
          </cell>
          <cell r="BL48">
            <v>4484.6690257539203</v>
          </cell>
          <cell r="BM48">
            <v>5391.1028133519294</v>
          </cell>
          <cell r="BN48">
            <v>5951.9973282158307</v>
          </cell>
          <cell r="BO48">
            <v>6832.8805875319958</v>
          </cell>
          <cell r="BP48">
            <v>7407.7017917181392</v>
          </cell>
          <cell r="BQ48">
            <v>31.278663158953805</v>
          </cell>
          <cell r="BR48">
            <v>-65.852750264181395</v>
          </cell>
          <cell r="BS48">
            <v>-101.64903178105169</v>
          </cell>
          <cell r="BT48">
            <v>-7.9718671891018857</v>
          </cell>
          <cell r="BU48">
            <v>43.498963569685657</v>
          </cell>
          <cell r="BV48">
            <v>50.422579242270331</v>
          </cell>
          <cell r="BW48">
            <v>58.50404529111529</v>
          </cell>
          <cell r="BX48">
            <v>69.248215987613548</v>
          </cell>
          <cell r="BY48">
            <v>64.718317229981039</v>
          </cell>
          <cell r="BZ48">
            <v>615.19398000000001</v>
          </cell>
          <cell r="CA48">
            <v>400.79887673999997</v>
          </cell>
          <cell r="CB48">
            <v>724.87496499999986</v>
          </cell>
          <cell r="CC48">
            <v>2192.212018763676</v>
          </cell>
          <cell r="CD48">
            <v>1740.8678217399997</v>
          </cell>
          <cell r="CE48">
            <v>451.34419702367632</v>
          </cell>
          <cell r="CF48">
            <v>25.926390929126207</v>
          </cell>
        </row>
        <row r="49">
          <cell r="G49" t="str">
            <v>Más Transferencias de Inversión</v>
          </cell>
          <cell r="L49">
            <v>346.29999999999995</v>
          </cell>
          <cell r="M49">
            <v>0</v>
          </cell>
          <cell r="N49">
            <v>346.29999999999995</v>
          </cell>
          <cell r="O49">
            <v>11.120173399999999</v>
          </cell>
          <cell r="P49">
            <v>29.652177999999999</v>
          </cell>
          <cell r="Q49">
            <v>10.730986</v>
          </cell>
          <cell r="R49">
            <v>5.4240189999999995</v>
          </cell>
          <cell r="S49">
            <v>14.851702899999999</v>
          </cell>
          <cell r="T49">
            <v>13.2781456</v>
          </cell>
          <cell r="U49">
            <v>40.577399999999997</v>
          </cell>
          <cell r="V49">
            <v>20.845372000000001</v>
          </cell>
          <cell r="W49">
            <v>31.52</v>
          </cell>
          <cell r="X49">
            <v>31.52</v>
          </cell>
          <cell r="Y49">
            <v>15.52</v>
          </cell>
          <cell r="Z49">
            <v>10.82</v>
          </cell>
          <cell r="AA49">
            <v>235.85997690000002</v>
          </cell>
          <cell r="AB49">
            <v>0.32179267231716502</v>
          </cell>
          <cell r="AC49" t="str">
            <v xml:space="preserve"> </v>
          </cell>
          <cell r="AD49">
            <v>0.32179267231716502</v>
          </cell>
          <cell r="AE49">
            <v>0</v>
          </cell>
          <cell r="AF49">
            <v>1.4073423994790084</v>
          </cell>
          <cell r="AG49">
            <v>8.4886565217673784</v>
          </cell>
          <cell r="AH49">
            <v>13.209656852907692</v>
          </cell>
          <cell r="AI49">
            <v>1.1169049332947674</v>
          </cell>
          <cell r="AJ49">
            <v>26.974367510777135</v>
          </cell>
          <cell r="AK49">
            <v>23.559686270522533</v>
          </cell>
          <cell r="AL49">
            <v>99.783051730031275</v>
          </cell>
          <cell r="AM49">
            <v>67.327521146702423</v>
          </cell>
          <cell r="AN49">
            <v>33.373038673950695</v>
          </cell>
          <cell r="AO49">
            <v>35.530150621440647</v>
          </cell>
          <cell r="AP49">
            <v>11.120173399999999</v>
          </cell>
          <cell r="AQ49">
            <v>28.24483560052099</v>
          </cell>
          <cell r="AR49">
            <v>2.2423294782326213</v>
          </cell>
          <cell r="AS49">
            <v>-7.7856378529076924</v>
          </cell>
          <cell r="AT49">
            <v>13.734797966705232</v>
          </cell>
          <cell r="AU49">
            <v>-13.696221910777135</v>
          </cell>
          <cell r="AV49">
            <v>17.017713729477464</v>
          </cell>
          <cell r="AW49">
            <v>-78.937679730031277</v>
          </cell>
          <cell r="AX49">
            <v>-35.807521146702427</v>
          </cell>
          <cell r="AY49">
            <v>40.772351400000005</v>
          </cell>
          <cell r="AZ49">
            <v>51.503337399999999</v>
          </cell>
          <cell r="BA49">
            <v>56.927356400000001</v>
          </cell>
          <cell r="BB49">
            <v>71.7790593</v>
          </cell>
          <cell r="BC49">
            <v>85.057204900000002</v>
          </cell>
          <cell r="BD49">
            <v>125.6346049</v>
          </cell>
          <cell r="BE49">
            <v>146.4799769</v>
          </cell>
          <cell r="BF49">
            <v>177.99997689999998</v>
          </cell>
          <cell r="BG49">
            <v>209.51997689999999</v>
          </cell>
          <cell r="BH49">
            <v>1.4073423994790084</v>
          </cell>
          <cell r="BI49">
            <v>9.8959989212463881</v>
          </cell>
          <cell r="BJ49">
            <v>23.10565577415408</v>
          </cell>
          <cell r="BK49">
            <v>24.222560707448849</v>
          </cell>
          <cell r="BL49">
            <v>51.196928218225978</v>
          </cell>
          <cell r="BM49">
            <v>74.756614488748511</v>
          </cell>
          <cell r="BN49">
            <v>174.53966621877979</v>
          </cell>
          <cell r="BO49">
            <v>241.86718736548221</v>
          </cell>
          <cell r="BP49">
            <v>275.24022603943291</v>
          </cell>
          <cell r="BQ49">
            <v>39.365009000520992</v>
          </cell>
          <cell r="BR49">
            <v>41.607338478753611</v>
          </cell>
          <cell r="BS49">
            <v>33.821700625845921</v>
          </cell>
          <cell r="BT49">
            <v>47.556498592551151</v>
          </cell>
          <cell r="BU49">
            <v>33.860276681774018</v>
          </cell>
          <cell r="BV49">
            <v>50.877990411251474</v>
          </cell>
          <cell r="BW49">
            <v>-28.059689318779789</v>
          </cell>
          <cell r="BX49">
            <v>-63.867210465482231</v>
          </cell>
          <cell r="BY49">
            <v>-65.720249139432923</v>
          </cell>
          <cell r="BZ49">
            <v>5.0979999999999999</v>
          </cell>
          <cell r="CA49">
            <v>1.7290000000000001</v>
          </cell>
          <cell r="CB49">
            <v>32.038000000000004</v>
          </cell>
          <cell r="CC49">
            <v>51.503337399999999</v>
          </cell>
          <cell r="CD49">
            <v>38.865000000000002</v>
          </cell>
          <cell r="CE49">
            <v>12.638337399999998</v>
          </cell>
          <cell r="CF49">
            <v>32.518557571079377</v>
          </cell>
        </row>
        <row r="50">
          <cell r="H50" t="str">
            <v>Subsidio Tarifas Eléctricas</v>
          </cell>
          <cell r="L50">
            <v>97.1</v>
          </cell>
          <cell r="N50">
            <v>97.1</v>
          </cell>
          <cell r="O50">
            <v>0</v>
          </cell>
          <cell r="P50">
            <v>0</v>
          </cell>
          <cell r="Q50">
            <v>0</v>
          </cell>
          <cell r="R50">
            <v>0</v>
          </cell>
          <cell r="S50">
            <v>0</v>
          </cell>
          <cell r="T50">
            <v>0</v>
          </cell>
          <cell r="U50">
            <v>27</v>
          </cell>
          <cell r="V50">
            <v>10.054</v>
          </cell>
          <cell r="W50">
            <v>27</v>
          </cell>
          <cell r="X50">
            <v>27</v>
          </cell>
          <cell r="Y50">
            <v>6</v>
          </cell>
          <cell r="Z50">
            <v>0</v>
          </cell>
          <cell r="AA50">
            <v>97.054000000000002</v>
          </cell>
          <cell r="AB50">
            <v>9.0228323655780332E-2</v>
          </cell>
          <cell r="AC50" t="str">
            <v xml:space="preserve"> </v>
          </cell>
          <cell r="AD50">
            <v>9.0228323655780332E-2</v>
          </cell>
          <cell r="AE50">
            <v>0</v>
          </cell>
          <cell r="AF50">
            <v>1.398905882451426</v>
          </cell>
          <cell r="AG50">
            <v>8.3462902969269273</v>
          </cell>
          <cell r="AH50">
            <v>0.29018558979381703</v>
          </cell>
          <cell r="AI50">
            <v>0.1804515432331299</v>
          </cell>
          <cell r="AJ50">
            <v>26.186607733326635</v>
          </cell>
          <cell r="AK50">
            <v>7.3156031040458071E-3</v>
          </cell>
          <cell r="AL50">
            <v>26.010220414040198</v>
          </cell>
          <cell r="AM50">
            <v>34.680022937123816</v>
          </cell>
          <cell r="AN50">
            <v>0</v>
          </cell>
          <cell r="AO50">
            <v>0</v>
          </cell>
          <cell r="AP50">
            <v>0</v>
          </cell>
          <cell r="AQ50">
            <v>-1.398905882451426</v>
          </cell>
          <cell r="AR50">
            <v>-8.3462902969269273</v>
          </cell>
          <cell r="AS50">
            <v>-0.29018558979381703</v>
          </cell>
          <cell r="AT50">
            <v>-0.1804515432331299</v>
          </cell>
          <cell r="AU50">
            <v>-26.186607733326635</v>
          </cell>
          <cell r="AV50">
            <v>26.992684396895953</v>
          </cell>
          <cell r="AW50">
            <v>-15.956220414040198</v>
          </cell>
          <cell r="AX50">
            <v>-7.680022937123816</v>
          </cell>
          <cell r="AY50">
            <v>0</v>
          </cell>
          <cell r="AZ50">
            <v>0</v>
          </cell>
          <cell r="BA50">
            <v>0</v>
          </cell>
          <cell r="BB50">
            <v>0</v>
          </cell>
          <cell r="BC50">
            <v>0</v>
          </cell>
          <cell r="BD50">
            <v>27</v>
          </cell>
          <cell r="BE50">
            <v>37.054000000000002</v>
          </cell>
          <cell r="BF50">
            <v>64.054000000000002</v>
          </cell>
          <cell r="BG50">
            <v>91.054000000000002</v>
          </cell>
          <cell r="BH50">
            <v>1.398905882451426</v>
          </cell>
          <cell r="BI50">
            <v>9.7451961793783539</v>
          </cell>
          <cell r="BJ50">
            <v>10.035381769172171</v>
          </cell>
          <cell r="BK50">
            <v>10.2158333124053</v>
          </cell>
          <cell r="BL50">
            <v>36.402441045731933</v>
          </cell>
          <cell r="BM50">
            <v>36.40975664883598</v>
          </cell>
          <cell r="BN50">
            <v>62.419977062876178</v>
          </cell>
          <cell r="BO50">
            <v>97.1</v>
          </cell>
          <cell r="BP50">
            <v>97.1</v>
          </cell>
          <cell r="BQ50">
            <v>-1.398905882451426</v>
          </cell>
          <cell r="BR50">
            <v>-9.7451961793783539</v>
          </cell>
          <cell r="BS50">
            <v>-10.035381769172171</v>
          </cell>
          <cell r="BT50">
            <v>-10.2158333124053</v>
          </cell>
          <cell r="BU50">
            <v>-36.402441045731933</v>
          </cell>
          <cell r="BV50">
            <v>-9.4097566488359803</v>
          </cell>
          <cell r="BW50">
            <v>-25.365977062876176</v>
          </cell>
          <cell r="BX50">
            <v>-33.045999999999992</v>
          </cell>
          <cell r="BY50">
            <v>-6.0459999999999923</v>
          </cell>
          <cell r="BZ50">
            <v>0</v>
          </cell>
          <cell r="CA50">
            <v>1.7210000000000001</v>
          </cell>
          <cell r="CB50">
            <v>10.268000000000001</v>
          </cell>
          <cell r="CC50">
            <v>0</v>
          </cell>
          <cell r="CD50">
            <v>11.989000000000001</v>
          </cell>
          <cell r="CE50">
            <v>-11.989000000000001</v>
          </cell>
          <cell r="CF50">
            <v>-100</v>
          </cell>
        </row>
        <row r="51">
          <cell r="H51" t="str">
            <v>Fosga</v>
          </cell>
          <cell r="L51">
            <v>0</v>
          </cell>
          <cell r="N51">
            <v>0</v>
          </cell>
          <cell r="O51">
            <v>0</v>
          </cell>
          <cell r="P51">
            <v>12.5</v>
          </cell>
          <cell r="Q51">
            <v>3.8</v>
          </cell>
          <cell r="R51">
            <v>4.87</v>
          </cell>
          <cell r="S51">
            <v>5.7</v>
          </cell>
          <cell r="T51">
            <v>7.2160000000000002</v>
          </cell>
          <cell r="U51">
            <v>4.5199999999999996</v>
          </cell>
          <cell r="V51">
            <v>3</v>
          </cell>
          <cell r="W51">
            <v>4.5199999999999996</v>
          </cell>
          <cell r="X51">
            <v>4.5199999999999996</v>
          </cell>
          <cell r="Y51">
            <v>9.52</v>
          </cell>
          <cell r="Z51">
            <v>10.82</v>
          </cell>
          <cell r="AA51">
            <v>70.98599999999999</v>
          </cell>
          <cell r="AB51" t="str">
            <v xml:space="preserve"> </v>
          </cell>
          <cell r="AC51" t="str">
            <v xml:space="preserve"> </v>
          </cell>
          <cell r="AD51" t="str">
            <v xml:space="preserve"> </v>
          </cell>
          <cell r="AE51">
            <v>0</v>
          </cell>
          <cell r="AF51">
            <v>0</v>
          </cell>
          <cell r="AG51">
            <v>0</v>
          </cell>
          <cell r="AH51">
            <v>0</v>
          </cell>
          <cell r="AI51">
            <v>0</v>
          </cell>
          <cell r="AJ51">
            <v>0</v>
          </cell>
          <cell r="AK51">
            <v>0</v>
          </cell>
          <cell r="AL51">
            <v>0</v>
          </cell>
          <cell r="AM51">
            <v>0</v>
          </cell>
          <cell r="AN51">
            <v>0</v>
          </cell>
          <cell r="AO51">
            <v>0</v>
          </cell>
          <cell r="AP51">
            <v>0</v>
          </cell>
          <cell r="AQ51">
            <v>12.5</v>
          </cell>
          <cell r="AR51">
            <v>3.8</v>
          </cell>
          <cell r="AS51">
            <v>4.87</v>
          </cell>
          <cell r="AT51">
            <v>5.7</v>
          </cell>
          <cell r="AU51">
            <v>7.2160000000000002</v>
          </cell>
          <cell r="AV51">
            <v>4.5199999999999996</v>
          </cell>
          <cell r="AW51">
            <v>3</v>
          </cell>
          <cell r="AX51">
            <v>4.5199999999999996</v>
          </cell>
          <cell r="AY51">
            <v>12.5</v>
          </cell>
          <cell r="AZ51">
            <v>16.3</v>
          </cell>
          <cell r="BA51">
            <v>21.17</v>
          </cell>
          <cell r="BB51">
            <v>26.87</v>
          </cell>
          <cell r="BC51">
            <v>34.085999999999999</v>
          </cell>
          <cell r="BD51">
            <v>38.605999999999995</v>
          </cell>
          <cell r="BE51">
            <v>41.605999999999995</v>
          </cell>
          <cell r="BF51">
            <v>46.125999999999991</v>
          </cell>
          <cell r="BG51">
            <v>50.645999999999987</v>
          </cell>
          <cell r="BH51">
            <v>0</v>
          </cell>
          <cell r="BI51">
            <v>0</v>
          </cell>
          <cell r="BJ51">
            <v>0</v>
          </cell>
          <cell r="BK51">
            <v>0</v>
          </cell>
          <cell r="BL51">
            <v>0</v>
          </cell>
          <cell r="BM51">
            <v>0</v>
          </cell>
          <cell r="BN51">
            <v>0</v>
          </cell>
          <cell r="BO51">
            <v>0</v>
          </cell>
          <cell r="BP51">
            <v>0</v>
          </cell>
          <cell r="BQ51">
            <v>12.5</v>
          </cell>
          <cell r="BR51">
            <v>16.3</v>
          </cell>
          <cell r="BS51">
            <v>21.17</v>
          </cell>
          <cell r="BT51">
            <v>26.87</v>
          </cell>
          <cell r="BU51">
            <v>34.085999999999999</v>
          </cell>
          <cell r="BV51">
            <v>38.605999999999995</v>
          </cell>
          <cell r="BW51">
            <v>41.605999999999995</v>
          </cell>
          <cell r="BX51">
            <v>46.125999999999991</v>
          </cell>
          <cell r="BY51">
            <v>50.645999999999987</v>
          </cell>
          <cell r="BZ51">
            <v>0</v>
          </cell>
          <cell r="CA51">
            <v>0</v>
          </cell>
          <cell r="CB51">
            <v>20.8</v>
          </cell>
          <cell r="CC51">
            <v>16.3</v>
          </cell>
          <cell r="CD51">
            <v>20.8</v>
          </cell>
          <cell r="CE51">
            <v>-4.5</v>
          </cell>
          <cell r="CF51">
            <v>-21.634615384615387</v>
          </cell>
        </row>
        <row r="52">
          <cell r="H52" t="str">
            <v>Ancianos Indigentes</v>
          </cell>
          <cell r="L52">
            <v>29</v>
          </cell>
          <cell r="N52">
            <v>29</v>
          </cell>
          <cell r="O52">
            <v>1.8348734</v>
          </cell>
          <cell r="P52">
            <v>5.9269780000000001</v>
          </cell>
          <cell r="Q52">
            <v>2.8377759999999999</v>
          </cell>
          <cell r="R52">
            <v>0.37401899999999999</v>
          </cell>
          <cell r="S52">
            <v>4.4152029000000006</v>
          </cell>
          <cell r="T52">
            <v>1.4326456000000001</v>
          </cell>
          <cell r="U52">
            <v>0.22790000000000002</v>
          </cell>
          <cell r="V52">
            <v>7.6561999999999991E-2</v>
          </cell>
          <cell r="W52">
            <v>0</v>
          </cell>
          <cell r="X52">
            <v>0</v>
          </cell>
          <cell r="Y52">
            <v>0</v>
          </cell>
          <cell r="Z52">
            <v>0</v>
          </cell>
          <cell r="AA52">
            <v>17.125956900000002</v>
          </cell>
          <cell r="AB52">
            <v>2.6947697075361789E-2</v>
          </cell>
          <cell r="AC52" t="str">
            <v xml:space="preserve"> </v>
          </cell>
          <cell r="AD52">
            <v>2.6947697075361789E-2</v>
          </cell>
          <cell r="AE52">
            <v>0</v>
          </cell>
          <cell r="AF52">
            <v>8.4365170275823194E-3</v>
          </cell>
          <cell r="AG52">
            <v>0.14236622484045164</v>
          </cell>
          <cell r="AH52">
            <v>12.919471263113875</v>
          </cell>
          <cell r="AI52">
            <v>0.93645339006163753</v>
          </cell>
          <cell r="AJ52">
            <v>0.78775977745049908</v>
          </cell>
          <cell r="AK52">
            <v>0.33851524573174058</v>
          </cell>
          <cell r="AL52">
            <v>1.6440662557501047</v>
          </cell>
          <cell r="AM52">
            <v>1.4331533300605466</v>
          </cell>
          <cell r="AN52">
            <v>2.1586937944326263</v>
          </cell>
          <cell r="AO52">
            <v>4.3158057419225804</v>
          </cell>
          <cell r="AP52">
            <v>1.8348734</v>
          </cell>
          <cell r="AQ52">
            <v>5.9185414829724179</v>
          </cell>
          <cell r="AR52">
            <v>2.6954097751595483</v>
          </cell>
          <cell r="AS52">
            <v>-12.545452263113875</v>
          </cell>
          <cell r="AT52">
            <v>3.4787495099383632</v>
          </cell>
          <cell r="AU52">
            <v>0.644885822549501</v>
          </cell>
          <cell r="AV52">
            <v>-0.11061524573174056</v>
          </cell>
          <cell r="AW52">
            <v>-1.5675042557501047</v>
          </cell>
          <cell r="AX52">
            <v>-1.4331533300605466</v>
          </cell>
          <cell r="AY52">
            <v>7.7618514000000003</v>
          </cell>
          <cell r="AZ52">
            <v>10.599627399999999</v>
          </cell>
          <cell r="BA52">
            <v>10.9736464</v>
          </cell>
          <cell r="BB52">
            <v>15.3888493</v>
          </cell>
          <cell r="BC52">
            <v>16.821494900000001</v>
          </cell>
          <cell r="BD52">
            <v>17.049394900000003</v>
          </cell>
          <cell r="BE52">
            <v>17.125956900000002</v>
          </cell>
          <cell r="BF52">
            <v>17.125956900000002</v>
          </cell>
          <cell r="BG52">
            <v>17.125956900000002</v>
          </cell>
          <cell r="BH52">
            <v>8.4365170275823194E-3</v>
          </cell>
          <cell r="BI52">
            <v>0.15080274186803397</v>
          </cell>
          <cell r="BJ52">
            <v>13.070274004981909</v>
          </cell>
          <cell r="BK52">
            <v>14.006727395043548</v>
          </cell>
          <cell r="BL52">
            <v>14.794487172494048</v>
          </cell>
          <cell r="BM52">
            <v>15.133002418225788</v>
          </cell>
          <cell r="BN52">
            <v>16.777068673975894</v>
          </cell>
          <cell r="BO52">
            <v>18.210222004036439</v>
          </cell>
          <cell r="BP52">
            <v>20.368915798469065</v>
          </cell>
          <cell r="BQ52">
            <v>7.7534148829724181</v>
          </cell>
          <cell r="BR52">
            <v>10.448824658131965</v>
          </cell>
          <cell r="BS52">
            <v>-2.0966276049819097</v>
          </cell>
          <cell r="BT52">
            <v>1.3821219049564526</v>
          </cell>
          <cell r="BU52">
            <v>2.0270077275059535</v>
          </cell>
          <cell r="BV52">
            <v>1.9163924817742153</v>
          </cell>
          <cell r="BW52">
            <v>0.34888822602410841</v>
          </cell>
          <cell r="BX52">
            <v>-1.0842651040364366</v>
          </cell>
          <cell r="BY52">
            <v>-3.2429588984690625</v>
          </cell>
          <cell r="BZ52">
            <v>0</v>
          </cell>
          <cell r="CA52">
            <v>8.0000000000000002E-3</v>
          </cell>
          <cell r="CB52">
            <v>0.13500000000000001</v>
          </cell>
          <cell r="CC52">
            <v>10.599627399999999</v>
          </cell>
          <cell r="CD52">
            <v>0.14300000000000002</v>
          </cell>
          <cell r="CE52">
            <v>10.456627399999999</v>
          </cell>
          <cell r="CF52">
            <v>7312.3268531468511</v>
          </cell>
        </row>
        <row r="53">
          <cell r="H53" t="str">
            <v>Fondo Solidaridad Pensional</v>
          </cell>
          <cell r="L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t="str">
            <v xml:space="preserve"> </v>
          </cell>
          <cell r="AC53" t="str">
            <v xml:space="preserve"> </v>
          </cell>
          <cell r="AD53" t="str">
            <v xml:space="preserve"> </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5.0979999999999999</v>
          </cell>
          <cell r="CA53">
            <v>0</v>
          </cell>
          <cell r="CB53">
            <v>0.83499999999999996</v>
          </cell>
          <cell r="CC53">
            <v>0</v>
          </cell>
          <cell r="CD53">
            <v>5.9329999999999998</v>
          </cell>
          <cell r="CE53">
            <v>-5.9329999999999998</v>
          </cell>
          <cell r="CF53">
            <v>-100</v>
          </cell>
        </row>
        <row r="54">
          <cell r="H54" t="str">
            <v>Fondo Compensación Educativa</v>
          </cell>
          <cell r="L54">
            <v>220.2</v>
          </cell>
          <cell r="N54">
            <v>220.2</v>
          </cell>
          <cell r="O54">
            <v>9.2852999999999994</v>
          </cell>
          <cell r="P54">
            <v>11.225200000000001</v>
          </cell>
          <cell r="Q54">
            <v>4.09321</v>
          </cell>
          <cell r="R54">
            <v>0.18</v>
          </cell>
          <cell r="S54">
            <v>4.7365000000000004</v>
          </cell>
          <cell r="T54">
            <v>4.6295000000000002</v>
          </cell>
          <cell r="U54">
            <v>8.8294999999999995</v>
          </cell>
          <cell r="V54">
            <v>7.7148100000000008</v>
          </cell>
          <cell r="W54">
            <v>0</v>
          </cell>
          <cell r="X54">
            <v>0</v>
          </cell>
          <cell r="Y54">
            <v>0</v>
          </cell>
          <cell r="Z54">
            <v>0</v>
          </cell>
          <cell r="AA54">
            <v>50.694019999999995</v>
          </cell>
          <cell r="AB54">
            <v>0.20461665158602299</v>
          </cell>
          <cell r="AC54" t="str">
            <v xml:space="preserve"> </v>
          </cell>
          <cell r="AD54">
            <v>0.20461665158602299</v>
          </cell>
          <cell r="AE54">
            <v>0</v>
          </cell>
          <cell r="AF54">
            <v>0</v>
          </cell>
          <cell r="AG54">
            <v>0</v>
          </cell>
          <cell r="AH54">
            <v>0</v>
          </cell>
          <cell r="AI54">
            <v>0</v>
          </cell>
          <cell r="AJ54">
            <v>0</v>
          </cell>
          <cell r="AK54">
            <v>23.213855421686748</v>
          </cell>
          <cell r="AL54">
            <v>72.128765060240966</v>
          </cell>
          <cell r="AM54">
            <v>31.214344879518066</v>
          </cell>
          <cell r="AN54">
            <v>31.214344879518066</v>
          </cell>
          <cell r="AO54">
            <v>31.214344879518066</v>
          </cell>
          <cell r="AP54">
            <v>9.2852999999999994</v>
          </cell>
          <cell r="AQ54">
            <v>11.225200000000001</v>
          </cell>
          <cell r="AR54">
            <v>4.09321</v>
          </cell>
          <cell r="AS54">
            <v>0.18</v>
          </cell>
          <cell r="AT54">
            <v>4.7365000000000004</v>
          </cell>
          <cell r="AU54">
            <v>4.6295000000000002</v>
          </cell>
          <cell r="AV54">
            <v>-14.384355421686749</v>
          </cell>
          <cell r="AW54">
            <v>-64.413955060240966</v>
          </cell>
          <cell r="AX54">
            <v>-31.214344879518066</v>
          </cell>
          <cell r="AY54">
            <v>20.5105</v>
          </cell>
          <cell r="AZ54">
            <v>24.60371</v>
          </cell>
          <cell r="BA54">
            <v>24.783709999999999</v>
          </cell>
          <cell r="BB54">
            <v>29.520209999999999</v>
          </cell>
          <cell r="BC54">
            <v>34.149709999999999</v>
          </cell>
          <cell r="BD54">
            <v>42.979209999999995</v>
          </cell>
          <cell r="BE54">
            <v>50.694019999999995</v>
          </cell>
          <cell r="BF54">
            <v>50.694019999999995</v>
          </cell>
          <cell r="BG54">
            <v>50.694019999999995</v>
          </cell>
          <cell r="BH54">
            <v>0</v>
          </cell>
          <cell r="BI54">
            <v>0</v>
          </cell>
          <cell r="BJ54">
            <v>0</v>
          </cell>
          <cell r="BK54">
            <v>0</v>
          </cell>
          <cell r="BL54">
            <v>0</v>
          </cell>
          <cell r="BM54">
            <v>23.213855421686748</v>
          </cell>
          <cell r="BN54">
            <v>95.34262048192771</v>
          </cell>
          <cell r="BO54">
            <v>126.55696536144578</v>
          </cell>
          <cell r="BP54">
            <v>157.77131024096383</v>
          </cell>
          <cell r="BQ54">
            <v>20.5105</v>
          </cell>
          <cell r="BR54">
            <v>24.60371</v>
          </cell>
          <cell r="BS54">
            <v>24.783709999999999</v>
          </cell>
          <cell r="BT54">
            <v>29.520209999999999</v>
          </cell>
          <cell r="BU54">
            <v>34.149709999999999</v>
          </cell>
          <cell r="BV54">
            <v>19.765354578313246</v>
          </cell>
          <cell r="BW54">
            <v>-44.648600481927716</v>
          </cell>
          <cell r="BX54">
            <v>-75.862945361445782</v>
          </cell>
          <cell r="BY54">
            <v>-107.07729024096383</v>
          </cell>
          <cell r="BZ54">
            <v>0</v>
          </cell>
          <cell r="CA54">
            <v>0</v>
          </cell>
          <cell r="CB54">
            <v>0</v>
          </cell>
          <cell r="CC54">
            <v>24.60371</v>
          </cell>
          <cell r="CD54">
            <v>0</v>
          </cell>
          <cell r="CE54">
            <v>24.60371</v>
          </cell>
          <cell r="CF54" t="str">
            <v xml:space="preserve">n.a. </v>
          </cell>
        </row>
        <row r="55">
          <cell r="G55" t="str">
            <v>Más Transferencias de Deuda</v>
          </cell>
          <cell r="L55">
            <v>177.85391466988909</v>
          </cell>
          <cell r="M55">
            <v>0</v>
          </cell>
          <cell r="N55">
            <v>177.85391466988909</v>
          </cell>
          <cell r="O55">
            <v>0.65426953900000007</v>
          </cell>
          <cell r="P55">
            <v>24.687984660999998</v>
          </cell>
          <cell r="Q55">
            <v>2.0402732663333336</v>
          </cell>
          <cell r="R55">
            <v>3.321029274363636</v>
          </cell>
          <cell r="S55">
            <v>11.226935897980429</v>
          </cell>
          <cell r="T55">
            <v>28.685882641888888</v>
          </cell>
          <cell r="U55">
            <v>0.41397398922222223</v>
          </cell>
          <cell r="V55">
            <v>34.224566441666667</v>
          </cell>
          <cell r="W55">
            <v>1.2387761833333333</v>
          </cell>
          <cell r="X55">
            <v>2.2599205617777773</v>
          </cell>
          <cell r="Y55">
            <v>12.437870640333331</v>
          </cell>
          <cell r="Z55">
            <v>12.58805003</v>
          </cell>
          <cell r="AA55">
            <v>133.77953312689959</v>
          </cell>
          <cell r="AB55">
            <v>0.16526735917901433</v>
          </cell>
          <cell r="AC55" t="str">
            <v xml:space="preserve"> </v>
          </cell>
          <cell r="AD55">
            <v>0.16526735917901433</v>
          </cell>
          <cell r="AE55">
            <v>2.7382788515788858</v>
          </cell>
          <cell r="AF55">
            <v>37.841788827218167</v>
          </cell>
          <cell r="AG55">
            <v>0.60866219444955894</v>
          </cell>
          <cell r="AH55">
            <v>2.9755506807456689</v>
          </cell>
          <cell r="AI55">
            <v>11.97493600495687</v>
          </cell>
          <cell r="AJ55">
            <v>45.798330754943443</v>
          </cell>
          <cell r="AK55">
            <v>0.98597126951555292</v>
          </cell>
          <cell r="AL55">
            <v>41.521531819230319</v>
          </cell>
          <cell r="AM55">
            <v>1.3428440887838857</v>
          </cell>
          <cell r="AN55">
            <v>2.4087476457022081</v>
          </cell>
          <cell r="AO55">
            <v>7.4771926772853803</v>
          </cell>
          <cell r="AP55">
            <v>-2.0840093125788859</v>
          </cell>
          <cell r="AQ55">
            <v>-13.153804166218169</v>
          </cell>
          <cell r="AR55">
            <v>1.4316110718837747</v>
          </cell>
          <cell r="AS55">
            <v>0.34547859361796718</v>
          </cell>
          <cell r="AT55">
            <v>-0.74800010697644126</v>
          </cell>
          <cell r="AU55">
            <v>-17.112448113054555</v>
          </cell>
          <cell r="AV55">
            <v>-0.57199728029333063</v>
          </cell>
          <cell r="AW55">
            <v>-7.2969653775636516</v>
          </cell>
          <cell r="AX55">
            <v>-0.10406790545055244</v>
          </cell>
          <cell r="AY55">
            <v>25.342254199999999</v>
          </cell>
          <cell r="AZ55">
            <v>27.382527466333332</v>
          </cell>
          <cell r="BA55">
            <v>30.703556740696968</v>
          </cell>
          <cell r="BB55">
            <v>41.930492638677393</v>
          </cell>
          <cell r="BC55">
            <v>70.616375280566288</v>
          </cell>
          <cell r="BD55">
            <v>71.030349269788502</v>
          </cell>
          <cell r="BE55">
            <v>105.25491571145517</v>
          </cell>
          <cell r="BF55">
            <v>106.49369189478851</v>
          </cell>
          <cell r="BG55">
            <v>108.75361245656629</v>
          </cell>
          <cell r="BH55">
            <v>40.580067678797057</v>
          </cell>
          <cell r="BI55">
            <v>41.188729873246615</v>
          </cell>
          <cell r="BJ55">
            <v>44.164280553992285</v>
          </cell>
          <cell r="BK55">
            <v>56.139216558949151</v>
          </cell>
          <cell r="BL55">
            <v>101.93754731389259</v>
          </cell>
          <cell r="BM55">
            <v>102.92351858340814</v>
          </cell>
          <cell r="BN55">
            <v>144.44505040263846</v>
          </cell>
          <cell r="BO55">
            <v>145.78789449142235</v>
          </cell>
          <cell r="BP55">
            <v>148.19664213712457</v>
          </cell>
          <cell r="BQ55">
            <v>-15.237813478797056</v>
          </cell>
          <cell r="BR55">
            <v>-13.806202406913286</v>
          </cell>
          <cell r="BS55">
            <v>-13.460723813295317</v>
          </cell>
          <cell r="BT55">
            <v>-14.208723920271758</v>
          </cell>
          <cell r="BU55">
            <v>-31.321172033326306</v>
          </cell>
          <cell r="BV55">
            <v>-31.893169313619641</v>
          </cell>
          <cell r="BW55">
            <v>-39.190134691183289</v>
          </cell>
          <cell r="BX55">
            <v>-39.294202596633838</v>
          </cell>
          <cell r="BY55">
            <v>-39.443029680558283</v>
          </cell>
          <cell r="BZ55">
            <v>2.1337000000000002</v>
          </cell>
          <cell r="CA55">
            <v>25.866163459999999</v>
          </cell>
          <cell r="CB55">
            <v>0.60479949999999993</v>
          </cell>
          <cell r="CC55">
            <v>27.382527466333332</v>
          </cell>
          <cell r="CD55">
            <v>28.604662959999999</v>
          </cell>
          <cell r="CE55">
            <v>-1.2221354936666664</v>
          </cell>
          <cell r="CF55">
            <v>-4.2725044352931789</v>
          </cell>
          <cell r="CI55">
            <v>338.12739999999997</v>
          </cell>
        </row>
        <row r="56">
          <cell r="H56" t="str">
            <v>Deuda Externa Entidades</v>
          </cell>
          <cell r="L56">
            <v>122.43058841578632</v>
          </cell>
          <cell r="N56">
            <v>122.43058841578632</v>
          </cell>
          <cell r="O56">
            <v>5.5769539000000007E-2</v>
          </cell>
          <cell r="P56">
            <v>23.123284661</v>
          </cell>
          <cell r="Q56">
            <v>0.18767326633333339</v>
          </cell>
          <cell r="R56">
            <v>1.5677292743636362</v>
          </cell>
          <cell r="S56">
            <v>10.640369487980429</v>
          </cell>
          <cell r="T56">
            <v>4.5132826418888898</v>
          </cell>
          <cell r="U56">
            <v>5.9673989222222203E-2</v>
          </cell>
          <cell r="V56">
            <v>34.019566441666669</v>
          </cell>
          <cell r="W56">
            <v>0.80927618333333329</v>
          </cell>
          <cell r="X56">
            <v>1.8941205617777774</v>
          </cell>
          <cell r="Y56">
            <v>12.261470640333332</v>
          </cell>
          <cell r="Z56">
            <v>0</v>
          </cell>
          <cell r="AA56">
            <v>89.132216686899625</v>
          </cell>
          <cell r="AB56">
            <v>0.11376628997885889</v>
          </cell>
          <cell r="AC56" t="str">
            <v xml:space="preserve"> </v>
          </cell>
          <cell r="AD56">
            <v>0.11376628997885889</v>
          </cell>
          <cell r="AE56">
            <v>2.4042955140057494</v>
          </cell>
          <cell r="AF56">
            <v>37.180898418894088</v>
          </cell>
          <cell r="AG56">
            <v>0.26214014023384996</v>
          </cell>
          <cell r="AH56">
            <v>2.7159775875713388</v>
          </cell>
          <cell r="AI56">
            <v>10.581432294611959</v>
          </cell>
          <cell r="AJ56">
            <v>11.434353326463118</v>
          </cell>
          <cell r="AK56">
            <v>0.92642613732675994</v>
          </cell>
          <cell r="AL56">
            <v>41.317225185282524</v>
          </cell>
          <cell r="AM56">
            <v>1.136809529216718</v>
          </cell>
          <cell r="AN56">
            <v>2.1860920873201168</v>
          </cell>
          <cell r="AO56">
            <v>7.0565662122265298</v>
          </cell>
          <cell r="AP56">
            <v>-2.3485259750057494</v>
          </cell>
          <cell r="AQ56">
            <v>-14.057613757894089</v>
          </cell>
          <cell r="AR56">
            <v>-7.4466873900516567E-2</v>
          </cell>
          <cell r="AS56">
            <v>-1.1482483132077026</v>
          </cell>
          <cell r="AT56">
            <v>5.893719336846992E-2</v>
          </cell>
          <cell r="AU56">
            <v>-6.9210706845742278</v>
          </cell>
          <cell r="AV56">
            <v>-0.86675214810453771</v>
          </cell>
          <cell r="AW56">
            <v>-7.2976587436158553</v>
          </cell>
          <cell r="AX56">
            <v>-0.32753334588338467</v>
          </cell>
          <cell r="AY56">
            <v>23.179054199999999</v>
          </cell>
          <cell r="AZ56">
            <v>23.366727466333334</v>
          </cell>
          <cell r="BA56">
            <v>24.934456740696969</v>
          </cell>
          <cell r="BB56">
            <v>35.574826228677395</v>
          </cell>
          <cell r="BC56">
            <v>40.088108870566288</v>
          </cell>
          <cell r="BD56">
            <v>40.147782859788506</v>
          </cell>
          <cell r="BE56">
            <v>74.167349301455175</v>
          </cell>
          <cell r="BF56">
            <v>74.976625484788514</v>
          </cell>
          <cell r="BG56">
            <v>76.870746046566296</v>
          </cell>
          <cell r="BH56">
            <v>39.585193932899841</v>
          </cell>
          <cell r="BI56">
            <v>39.847334073133695</v>
          </cell>
          <cell r="BJ56">
            <v>42.563311660705033</v>
          </cell>
          <cell r="BK56">
            <v>53.14474395531699</v>
          </cell>
          <cell r="BL56">
            <v>64.579097281780108</v>
          </cell>
          <cell r="BM56">
            <v>65.505523419106865</v>
          </cell>
          <cell r="BN56">
            <v>106.82274860438939</v>
          </cell>
          <cell r="BO56">
            <v>107.95955813360611</v>
          </cell>
          <cell r="BP56">
            <v>110.14565022092623</v>
          </cell>
          <cell r="BQ56">
            <v>-16.406139732899842</v>
          </cell>
          <cell r="BR56">
            <v>-16.480606606800361</v>
          </cell>
          <cell r="BS56">
            <v>-17.628854920008063</v>
          </cell>
          <cell r="BT56">
            <v>-17.569917726639595</v>
          </cell>
          <cell r="BU56">
            <v>-24.49098841121382</v>
          </cell>
          <cell r="BV56">
            <v>-25.357740559318358</v>
          </cell>
          <cell r="BW56">
            <v>-32.655399302934214</v>
          </cell>
          <cell r="BX56">
            <v>-32.982932648817595</v>
          </cell>
          <cell r="BY56">
            <v>-33.274904174359932</v>
          </cell>
          <cell r="BZ56">
            <v>1.7278</v>
          </cell>
          <cell r="CA56">
            <v>25.062963459999999</v>
          </cell>
          <cell r="CB56">
            <v>0.1787995</v>
          </cell>
          <cell r="CC56">
            <v>23.366727466333334</v>
          </cell>
          <cell r="CD56">
            <v>26.969562959999998</v>
          </cell>
          <cell r="CE56">
            <v>-3.6028354936666638</v>
          </cell>
          <cell r="CF56">
            <v>-13.358894613940253</v>
          </cell>
          <cell r="CI56">
            <v>1393.1273999999999</v>
          </cell>
        </row>
        <row r="57">
          <cell r="H57" t="str">
            <v>Deuda Interna Entidades</v>
          </cell>
          <cell r="L57">
            <v>55.423326254102776</v>
          </cell>
          <cell r="N57">
            <v>55.423326254102776</v>
          </cell>
          <cell r="O57">
            <v>0.59850000000000003</v>
          </cell>
          <cell r="P57">
            <v>1.5647</v>
          </cell>
          <cell r="Q57">
            <v>1.8526</v>
          </cell>
          <cell r="R57">
            <v>1.7533000000000001</v>
          </cell>
          <cell r="S57">
            <v>0.58656640999999998</v>
          </cell>
          <cell r="T57">
            <v>24.172599999999999</v>
          </cell>
          <cell r="U57">
            <v>0.3543</v>
          </cell>
          <cell r="V57">
            <v>0.20499999999999999</v>
          </cell>
          <cell r="W57">
            <v>0.42949999999999999</v>
          </cell>
          <cell r="X57">
            <v>0.36580000000000001</v>
          </cell>
          <cell r="Y57">
            <v>0.1764</v>
          </cell>
          <cell r="Z57">
            <v>12.58805003</v>
          </cell>
          <cell r="AA57">
            <v>44.647316439999997</v>
          </cell>
          <cell r="AB57">
            <v>5.1501069200155437E-2</v>
          </cell>
          <cell r="AC57" t="str">
            <v xml:space="preserve"> </v>
          </cell>
          <cell r="AD57">
            <v>5.1501069200155437E-2</v>
          </cell>
          <cell r="AE57">
            <v>0.33398333757313658</v>
          </cell>
          <cell r="AF57">
            <v>0.66089040832407797</v>
          </cell>
          <cell r="AG57">
            <v>0.34652205421570897</v>
          </cell>
          <cell r="AH57">
            <v>0.25957309317432997</v>
          </cell>
          <cell r="AI57">
            <v>1.3935037103449099</v>
          </cell>
          <cell r="AJ57">
            <v>34.363977428480325</v>
          </cell>
          <cell r="AK57">
            <v>5.9545132188792982E-2</v>
          </cell>
          <cell r="AL57">
            <v>0.20430663394779458</v>
          </cell>
          <cell r="AM57">
            <v>0.20603455956716779</v>
          </cell>
          <cell r="AN57">
            <v>0.22265555838209106</v>
          </cell>
          <cell r="AO57">
            <v>0.42062646505885048</v>
          </cell>
          <cell r="AP57">
            <v>0.26451666242686345</v>
          </cell>
          <cell r="AQ57">
            <v>0.90380959167592201</v>
          </cell>
          <cell r="AR57">
            <v>1.506077945784291</v>
          </cell>
          <cell r="AS57">
            <v>1.4937269068256702</v>
          </cell>
          <cell r="AT57">
            <v>-0.80693730034490996</v>
          </cell>
          <cell r="AU57">
            <v>-10.191377428480326</v>
          </cell>
          <cell r="AV57">
            <v>0.29475486781120702</v>
          </cell>
          <cell r="AW57">
            <v>6.9336605220540748E-4</v>
          </cell>
          <cell r="AX57">
            <v>0.2234654404328322</v>
          </cell>
          <cell r="AY57">
            <v>2.1631999999999998</v>
          </cell>
          <cell r="AZ57">
            <v>4.0157999999999996</v>
          </cell>
          <cell r="BA57">
            <v>5.7690999999999999</v>
          </cell>
          <cell r="BB57">
            <v>6.3556664099999995</v>
          </cell>
          <cell r="BC57">
            <v>30.528266410000001</v>
          </cell>
          <cell r="BD57">
            <v>30.882566409999999</v>
          </cell>
          <cell r="BE57">
            <v>31.087566409999997</v>
          </cell>
          <cell r="BF57">
            <v>31.517066409999998</v>
          </cell>
          <cell r="BG57">
            <v>31.882866409999998</v>
          </cell>
          <cell r="BH57">
            <v>0.99487374589721456</v>
          </cell>
          <cell r="BI57">
            <v>1.3413958001129236</v>
          </cell>
          <cell r="BJ57">
            <v>1.6009688932872534</v>
          </cell>
          <cell r="BK57">
            <v>2.9944726036321634</v>
          </cell>
          <cell r="BL57">
            <v>37.358450032112486</v>
          </cell>
          <cell r="BM57">
            <v>37.417995164301281</v>
          </cell>
          <cell r="BN57">
            <v>37.622301798249076</v>
          </cell>
          <cell r="BO57">
            <v>37.828336357816241</v>
          </cell>
          <cell r="BP57">
            <v>38.050991916198335</v>
          </cell>
          <cell r="BQ57">
            <v>1.1683262541027852</v>
          </cell>
          <cell r="BR57">
            <v>2.6744041998870758</v>
          </cell>
          <cell r="BS57">
            <v>4.168131106712746</v>
          </cell>
          <cell r="BT57">
            <v>3.3611938063678362</v>
          </cell>
          <cell r="BU57">
            <v>-6.8301836221124859</v>
          </cell>
          <cell r="BV57">
            <v>-6.5354287543012823</v>
          </cell>
          <cell r="BW57">
            <v>-6.5347353882490786</v>
          </cell>
          <cell r="BX57">
            <v>-6.3112699478162426</v>
          </cell>
          <cell r="BY57">
            <v>-6.1681255061983364</v>
          </cell>
          <cell r="BZ57">
            <v>0.40589999999999998</v>
          </cell>
          <cell r="CA57">
            <v>0.80320000000000003</v>
          </cell>
          <cell r="CB57">
            <v>0.42599999999999999</v>
          </cell>
          <cell r="CC57">
            <v>4.0157999999999996</v>
          </cell>
          <cell r="CD57">
            <v>1.6351</v>
          </cell>
          <cell r="CE57">
            <v>2.3806999999999996</v>
          </cell>
          <cell r="CF57">
            <v>145.59965751330193</v>
          </cell>
        </row>
        <row r="58">
          <cell r="BN58">
            <v>0</v>
          </cell>
          <cell r="BW58">
            <v>0</v>
          </cell>
        </row>
        <row r="59">
          <cell r="L59">
            <v>2537.5869837451937</v>
          </cell>
          <cell r="M59">
            <v>0</v>
          </cell>
          <cell r="N59">
            <v>2537.5869837451937</v>
          </cell>
          <cell r="Q59">
            <v>294.0610956759279</v>
          </cell>
          <cell r="R59">
            <v>242.60712493043712</v>
          </cell>
          <cell r="S59">
            <v>163.62961941089</v>
          </cell>
          <cell r="T59">
            <v>144.72957612675719</v>
          </cell>
          <cell r="U59">
            <v>242.82889541177775</v>
          </cell>
          <cell r="V59">
            <v>198.61304410745123</v>
          </cell>
          <cell r="W59">
            <v>511.05546935365669</v>
          </cell>
          <cell r="X59">
            <v>211.26157493933331</v>
          </cell>
          <cell r="Y59">
            <v>97.855146539000003</v>
          </cell>
          <cell r="Z59">
            <v>287.48785082556651</v>
          </cell>
          <cell r="AA59">
            <v>2684.1596631453813</v>
          </cell>
          <cell r="AB59">
            <v>2.3580043220809142</v>
          </cell>
          <cell r="AC59" t="str">
            <v xml:space="preserve"> </v>
          </cell>
          <cell r="AD59">
            <v>2.3580043220809142</v>
          </cell>
          <cell r="AE59">
            <v>139.29688463322262</v>
          </cell>
          <cell r="AF59">
            <v>138.65641176632701</v>
          </cell>
          <cell r="AG59">
            <v>329.85988123361915</v>
          </cell>
          <cell r="AH59">
            <v>241.25266478841922</v>
          </cell>
          <cell r="AI59">
            <v>179.96494847638968</v>
          </cell>
          <cell r="AJ59">
            <v>163.69305167317788</v>
          </cell>
          <cell r="AK59">
            <v>194.7889101078257</v>
          </cell>
          <cell r="AL59">
            <v>278.33786711858227</v>
          </cell>
          <cell r="AM59">
            <v>438.22349769462562</v>
          </cell>
          <cell r="AN59">
            <v>113.58463397436068</v>
          </cell>
          <cell r="AO59">
            <v>75.514513207985942</v>
          </cell>
          <cell r="AP59">
            <v>-1.3528202868892834</v>
          </cell>
          <cell r="AQ59">
            <v>13.429789711923007</v>
          </cell>
          <cell r="AR59">
            <v>-35.798785557691247</v>
          </cell>
          <cell r="AS59">
            <v>1.3544601420178992</v>
          </cell>
          <cell r="AT59">
            <v>-16.335329065499678</v>
          </cell>
          <cell r="AU59">
            <v>-18.963475546420682</v>
          </cell>
          <cell r="AV59">
            <v>48.039985303952051</v>
          </cell>
          <cell r="AW59">
            <v>-79.724823011131036</v>
          </cell>
          <cell r="AX59">
            <v>72.831971659031069</v>
          </cell>
          <cell r="AY59">
            <v>290.03026582458335</v>
          </cell>
          <cell r="AZ59">
            <v>584.09136150051131</v>
          </cell>
          <cell r="BA59">
            <v>826.69848643094838</v>
          </cell>
          <cell r="BB59">
            <v>990.32810584183846</v>
          </cell>
          <cell r="BC59">
            <v>1135.0576819685957</v>
          </cell>
          <cell r="BD59">
            <v>1377.8865773803734</v>
          </cell>
          <cell r="BE59">
            <v>1576.4996214878245</v>
          </cell>
          <cell r="BF59">
            <v>2087.5550908414812</v>
          </cell>
          <cell r="BG59">
            <v>2298.8166657808147</v>
          </cell>
          <cell r="BH59">
            <v>277.95329639954963</v>
          </cell>
          <cell r="BI59">
            <v>607.81317763316883</v>
          </cell>
          <cell r="BJ59">
            <v>849.06584242158806</v>
          </cell>
          <cell r="BK59">
            <v>1029.0307908979776</v>
          </cell>
          <cell r="BL59">
            <v>1192.7238425711555</v>
          </cell>
          <cell r="BM59">
            <v>1387.5127526789813</v>
          </cell>
          <cell r="BN59">
            <v>1665.8506197975639</v>
          </cell>
          <cell r="BO59">
            <v>2104.0741174921895</v>
          </cell>
          <cell r="BP59">
            <v>2217.6587514665503</v>
          </cell>
          <cell r="BQ59">
            <v>12.07696942503371</v>
          </cell>
          <cell r="BR59">
            <v>-23.721816132657551</v>
          </cell>
          <cell r="BS59">
            <v>-22.367355990639567</v>
          </cell>
          <cell r="BT59">
            <v>-38.702685056139217</v>
          </cell>
          <cell r="BU59">
            <v>-57.666160602559842</v>
          </cell>
          <cell r="BV59">
            <v>-9.6261752986079046</v>
          </cell>
          <cell r="BW59">
            <v>-89.350998309739452</v>
          </cell>
          <cell r="BX59">
            <v>-16.519026650708383</v>
          </cell>
          <cell r="BY59">
            <v>81.157914314264417</v>
          </cell>
          <cell r="BZ59">
            <v>51.372504939999999</v>
          </cell>
          <cell r="CA59">
            <v>185.31118026000001</v>
          </cell>
          <cell r="CB59">
            <v>176.49927199999999</v>
          </cell>
          <cell r="CC59">
            <v>584.09136150051131</v>
          </cell>
          <cell r="CD59">
            <v>413.18295719999998</v>
          </cell>
          <cell r="CE59">
            <v>170.90840430051134</v>
          </cell>
          <cell r="CF59">
            <v>41.363856210018767</v>
          </cell>
        </row>
        <row r="60">
          <cell r="L60">
            <v>1857.0093354691621</v>
          </cell>
          <cell r="M60">
            <v>0</v>
          </cell>
          <cell r="N60">
            <v>1857.0093354691621</v>
          </cell>
          <cell r="Q60">
            <v>250.2770903</v>
          </cell>
          <cell r="R60">
            <v>181.92547436683</v>
          </cell>
          <cell r="S60">
            <v>136.10404965729001</v>
          </cell>
          <cell r="T60">
            <v>66.59179432900001</v>
          </cell>
          <cell r="U60">
            <v>201.49002999999999</v>
          </cell>
          <cell r="V60">
            <v>117.15720660522</v>
          </cell>
          <cell r="W60">
            <v>455.76433764899002</v>
          </cell>
          <cell r="X60">
            <v>119.3005</v>
          </cell>
          <cell r="Y60">
            <v>80.678799999999995</v>
          </cell>
          <cell r="Z60">
            <v>223.83</v>
          </cell>
          <cell r="AA60">
            <v>2034.9541098073298</v>
          </cell>
          <cell r="AB60">
            <v>1.725590518563513</v>
          </cell>
          <cell r="AC60" t="str">
            <v xml:space="preserve"> </v>
          </cell>
          <cell r="AD60">
            <v>1.725590518563513</v>
          </cell>
          <cell r="AE60">
            <v>105.5949751885439</v>
          </cell>
          <cell r="AF60">
            <v>83.460269798793149</v>
          </cell>
          <cell r="AG60">
            <v>259.77615401441949</v>
          </cell>
          <cell r="AH60">
            <v>167.34054464170501</v>
          </cell>
          <cell r="AI60">
            <v>133.32951094867099</v>
          </cell>
          <cell r="AJ60">
            <v>88.77389837829439</v>
          </cell>
          <cell r="AK60">
            <v>161.08700066314699</v>
          </cell>
          <cell r="AL60">
            <v>178.59418459334898</v>
          </cell>
          <cell r="AM60">
            <v>334.39982540121105</v>
          </cell>
          <cell r="AN60">
            <v>48.910951726747605</v>
          </cell>
          <cell r="AO60">
            <v>44.769004089069</v>
          </cell>
          <cell r="AP60">
            <v>2.2549181114560923</v>
          </cell>
          <cell r="AQ60">
            <v>10.524663801206856</v>
          </cell>
          <cell r="AR60">
            <v>-9.499063714419492</v>
          </cell>
          <cell r="AS60">
            <v>14.584929725124994</v>
          </cell>
          <cell r="AT60">
            <v>2.7745387086190192</v>
          </cell>
          <cell r="AU60">
            <v>-22.182104049294381</v>
          </cell>
          <cell r="AV60">
            <v>40.403029336852995</v>
          </cell>
          <cell r="AW60">
            <v>-61.436977988128987</v>
          </cell>
          <cell r="AX60">
            <v>121.36451224777898</v>
          </cell>
          <cell r="AY60">
            <v>201.8348269</v>
          </cell>
          <cell r="AZ60">
            <v>452.11191719999999</v>
          </cell>
          <cell r="BA60">
            <v>634.03739156683002</v>
          </cell>
          <cell r="BB60">
            <v>770.14144122412006</v>
          </cell>
          <cell r="BC60">
            <v>836.73323555312004</v>
          </cell>
          <cell r="BD60">
            <v>1038.22326555312</v>
          </cell>
          <cell r="BE60">
            <v>1155.3804721583399</v>
          </cell>
          <cell r="BF60">
            <v>1611.1448098073299</v>
          </cell>
          <cell r="BG60">
            <v>1730.44530980733</v>
          </cell>
          <cell r="BH60">
            <v>189.05524498733706</v>
          </cell>
          <cell r="BI60">
            <v>448.83139900175655</v>
          </cell>
          <cell r="BJ60">
            <v>616.17194364346153</v>
          </cell>
          <cell r="BK60">
            <v>749.50145459213252</v>
          </cell>
          <cell r="BL60">
            <v>838.27535297042687</v>
          </cell>
          <cell r="BM60">
            <v>999.36235363357389</v>
          </cell>
          <cell r="BN60">
            <v>1177.9565382269229</v>
          </cell>
          <cell r="BO60">
            <v>1512.356363628134</v>
          </cell>
          <cell r="BP60">
            <v>1561.2673153548815</v>
          </cell>
          <cell r="BQ60">
            <v>12.779581912662934</v>
          </cell>
          <cell r="BR60">
            <v>3.2805181982434419</v>
          </cell>
          <cell r="BS60">
            <v>17.865447923368492</v>
          </cell>
          <cell r="BT60">
            <v>20.63998663198754</v>
          </cell>
          <cell r="BU60">
            <v>-1.5421174173068266</v>
          </cell>
          <cell r="BV60">
            <v>38.860911919546083</v>
          </cell>
          <cell r="BW60">
            <v>-22.576066068583032</v>
          </cell>
          <cell r="BX60">
            <v>98.788446179195944</v>
          </cell>
          <cell r="BY60">
            <v>169.1779944524485</v>
          </cell>
          <cell r="BZ60">
            <v>22.890900000000002</v>
          </cell>
          <cell r="CA60">
            <v>152.2893</v>
          </cell>
          <cell r="CB60">
            <v>144.3749</v>
          </cell>
          <cell r="CC60">
            <v>452.11191719999999</v>
          </cell>
          <cell r="CD60">
            <v>319.55509999999998</v>
          </cell>
          <cell r="CE60">
            <v>132.55681720000001</v>
          </cell>
          <cell r="CF60">
            <v>41.481677870264001</v>
          </cell>
        </row>
        <row r="61">
          <cell r="G61" t="str">
            <v>Pagos de Gobierno por Tesorería</v>
          </cell>
          <cell r="L61">
            <v>1771.1911754257305</v>
          </cell>
          <cell r="N61">
            <v>1771.1911754257305</v>
          </cell>
          <cell r="O61">
            <v>107.84989329999999</v>
          </cell>
          <cell r="P61">
            <v>93.984933600000005</v>
          </cell>
          <cell r="Q61">
            <v>250.2770903</v>
          </cell>
          <cell r="R61">
            <v>181.92547436683</v>
          </cell>
          <cell r="S61">
            <v>136.10404965729001</v>
          </cell>
          <cell r="T61">
            <v>66.59179432900001</v>
          </cell>
          <cell r="U61">
            <v>201.49002999999999</v>
          </cell>
          <cell r="V61">
            <v>117.15720660522</v>
          </cell>
          <cell r="W61">
            <v>455.76433764899002</v>
          </cell>
          <cell r="X61">
            <v>119.3005</v>
          </cell>
          <cell r="Y61">
            <v>80.678799999999995</v>
          </cell>
          <cell r="Z61">
            <v>223.83</v>
          </cell>
          <cell r="AA61">
            <v>2034.9541098073298</v>
          </cell>
          <cell r="AB61">
            <v>1.6458456295836748</v>
          </cell>
          <cell r="AC61" t="str">
            <v xml:space="preserve"> </v>
          </cell>
          <cell r="AD61">
            <v>1.6458456295836748</v>
          </cell>
          <cell r="AE61">
            <v>105.5949751885439</v>
          </cell>
          <cell r="AF61">
            <v>83.460269798793149</v>
          </cell>
          <cell r="AG61">
            <v>259.77615401441949</v>
          </cell>
          <cell r="AH61">
            <v>167.34054464170501</v>
          </cell>
          <cell r="AI61">
            <v>133.32951094867099</v>
          </cell>
          <cell r="AJ61">
            <v>88.77389837829439</v>
          </cell>
          <cell r="AK61">
            <v>161.08700066314699</v>
          </cell>
          <cell r="AL61">
            <v>178.59418459334898</v>
          </cell>
          <cell r="AM61">
            <v>334.39982540121105</v>
          </cell>
          <cell r="AN61">
            <v>48.910951726747605</v>
          </cell>
          <cell r="AO61">
            <v>44.769004089069</v>
          </cell>
          <cell r="AP61">
            <v>2.2549181114560923</v>
          </cell>
          <cell r="AQ61">
            <v>10.524663801206856</v>
          </cell>
          <cell r="AR61">
            <v>-9.499063714419492</v>
          </cell>
          <cell r="AS61">
            <v>14.584929725124994</v>
          </cell>
          <cell r="AT61">
            <v>2.7745387086190192</v>
          </cell>
          <cell r="AU61">
            <v>-22.182104049294381</v>
          </cell>
          <cell r="AV61">
            <v>40.403029336852995</v>
          </cell>
          <cell r="AW61">
            <v>-61.436977988128987</v>
          </cell>
          <cell r="AX61">
            <v>121.36451224777898</v>
          </cell>
          <cell r="AY61">
            <v>201.8348269</v>
          </cell>
          <cell r="AZ61">
            <v>452.11191719999999</v>
          </cell>
          <cell r="BA61">
            <v>634.03739156683002</v>
          </cell>
          <cell r="BB61">
            <v>770.14144122412006</v>
          </cell>
          <cell r="BC61">
            <v>836.73323555312004</v>
          </cell>
          <cell r="BD61">
            <v>1038.22326555312</v>
          </cell>
          <cell r="BE61">
            <v>1155.3804721583399</v>
          </cell>
          <cell r="BF61">
            <v>1611.1448098073299</v>
          </cell>
          <cell r="BG61">
            <v>1730.44530980733</v>
          </cell>
          <cell r="BH61">
            <v>189.05524498733706</v>
          </cell>
          <cell r="BI61">
            <v>448.83139900175655</v>
          </cell>
          <cell r="BJ61">
            <v>616.17194364346153</v>
          </cell>
          <cell r="BK61">
            <v>749.50145459213252</v>
          </cell>
          <cell r="BL61">
            <v>838.27535297042687</v>
          </cell>
          <cell r="BM61">
            <v>999.36235363357389</v>
          </cell>
          <cell r="BN61">
            <v>1177.9565382269229</v>
          </cell>
          <cell r="BO61">
            <v>1512.356363628134</v>
          </cell>
          <cell r="BP61">
            <v>1561.2673153548815</v>
          </cell>
          <cell r="BQ61">
            <v>12.779581912662934</v>
          </cell>
          <cell r="BR61">
            <v>3.2805181982434419</v>
          </cell>
          <cell r="BS61">
            <v>17.865447923368492</v>
          </cell>
          <cell r="BT61">
            <v>20.63998663198754</v>
          </cell>
          <cell r="BU61">
            <v>-1.5421174173068266</v>
          </cell>
          <cell r="BV61">
            <v>38.860911919546083</v>
          </cell>
          <cell r="BW61">
            <v>-22.576066068583032</v>
          </cell>
          <cell r="BX61">
            <v>98.788446179195944</v>
          </cell>
          <cell r="BY61">
            <v>169.1779944524485</v>
          </cell>
          <cell r="BZ61">
            <v>22.509</v>
          </cell>
          <cell r="CA61">
            <v>141.8793</v>
          </cell>
          <cell r="CB61">
            <v>144.3749</v>
          </cell>
          <cell r="CC61">
            <v>452.11191719999999</v>
          </cell>
          <cell r="CD61">
            <v>308.76319999999998</v>
          </cell>
          <cell r="CE61">
            <v>143.34871720000001</v>
          </cell>
          <cell r="CF61">
            <v>46.426749431279376</v>
          </cell>
        </row>
        <row r="62">
          <cell r="G62" t="str">
            <v>Más Bonos Dec. 4308, Ley 55 y Dec. 700</v>
          </cell>
          <cell r="L62">
            <v>56.5</v>
          </cell>
          <cell r="N62">
            <v>56.5</v>
          </cell>
          <cell r="O62">
            <v>0</v>
          </cell>
          <cell r="P62">
            <v>0</v>
          </cell>
          <cell r="Q62">
            <v>0</v>
          </cell>
          <cell r="R62">
            <v>0</v>
          </cell>
          <cell r="S62">
            <v>0</v>
          </cell>
          <cell r="T62">
            <v>0</v>
          </cell>
          <cell r="U62">
            <v>0</v>
          </cell>
          <cell r="V62">
            <v>0</v>
          </cell>
          <cell r="W62">
            <v>0</v>
          </cell>
          <cell r="X62">
            <v>0</v>
          </cell>
          <cell r="Y62">
            <v>0</v>
          </cell>
          <cell r="Z62">
            <v>0</v>
          </cell>
          <cell r="AA62">
            <v>0</v>
          </cell>
          <cell r="AB62">
            <v>5.2501547750273832E-2</v>
          </cell>
          <cell r="AC62" t="str">
            <v xml:space="preserve"> </v>
          </cell>
          <cell r="AD62">
            <v>5.2501547750273832E-2</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0.38190000000000002</v>
          </cell>
          <cell r="CA62">
            <v>10.41</v>
          </cell>
          <cell r="CB62">
            <v>0</v>
          </cell>
          <cell r="CC62">
            <v>0</v>
          </cell>
          <cell r="CD62">
            <v>10.7919</v>
          </cell>
          <cell r="CE62">
            <v>-10.7919</v>
          </cell>
          <cell r="CF62">
            <v>-100</v>
          </cell>
        </row>
        <row r="63">
          <cell r="G63" t="str">
            <v>Otra deuda Interna</v>
          </cell>
          <cell r="L63">
            <v>29.318160043431551</v>
          </cell>
          <cell r="N63">
            <v>29.318160043431551</v>
          </cell>
          <cell r="AA63">
            <v>0</v>
          </cell>
          <cell r="AB63">
            <v>2.7243341229564462E-2</v>
          </cell>
          <cell r="AC63" t="str">
            <v xml:space="preserve"> </v>
          </cell>
          <cell r="AD63">
            <v>2.7243341229564462E-2</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t="str">
            <v xml:space="preserve">n.a. </v>
          </cell>
        </row>
        <row r="64">
          <cell r="L64">
            <v>680.57764827603137</v>
          </cell>
          <cell r="M64">
            <v>0</v>
          </cell>
          <cell r="N64">
            <v>680.57764827603137</v>
          </cell>
          <cell r="Q64">
            <v>43.784005375927912</v>
          </cell>
          <cell r="R64">
            <v>60.681650563607135</v>
          </cell>
          <cell r="S64">
            <v>27.525569753600006</v>
          </cell>
          <cell r="T64">
            <v>78.137781797757199</v>
          </cell>
          <cell r="U64">
            <v>41.338865411777768</v>
          </cell>
          <cell r="V64">
            <v>81.455837502231233</v>
          </cell>
          <cell r="W64">
            <v>55.291131704666668</v>
          </cell>
          <cell r="X64">
            <v>91.961074939333315</v>
          </cell>
          <cell r="Y64">
            <v>17.176346539000001</v>
          </cell>
          <cell r="Z64">
            <v>63.657850825566527</v>
          </cell>
          <cell r="AA64">
            <v>649.205553338051</v>
          </cell>
          <cell r="AB64">
            <v>0.63241380351740051</v>
          </cell>
          <cell r="AC64" t="str">
            <v xml:space="preserve"> </v>
          </cell>
          <cell r="AD64">
            <v>0.63241380351740051</v>
          </cell>
          <cell r="AE64">
            <v>33.701909444678712</v>
          </cell>
          <cell r="AF64">
            <v>55.196141967533862</v>
          </cell>
          <cell r="AG64">
            <v>70.083727219199687</v>
          </cell>
          <cell r="AH64">
            <v>73.91212014671423</v>
          </cell>
          <cell r="AI64">
            <v>46.635437527718707</v>
          </cell>
          <cell r="AJ64">
            <v>74.9191532948835</v>
          </cell>
          <cell r="AK64">
            <v>33.701909444678712</v>
          </cell>
          <cell r="AL64">
            <v>99.743682525233297</v>
          </cell>
          <cell r="AM64">
            <v>103.82367229341455</v>
          </cell>
          <cell r="AN64">
            <v>64.673682247613073</v>
          </cell>
          <cell r="AO64">
            <v>30.745509118916949</v>
          </cell>
          <cell r="AP64">
            <v>-3.6077383983453757</v>
          </cell>
          <cell r="AQ64">
            <v>2.9051259107161442</v>
          </cell>
          <cell r="AR64">
            <v>-26.299721843271776</v>
          </cell>
          <cell r="AS64">
            <v>-13.230469583107094</v>
          </cell>
          <cell r="AT64">
            <v>-19.109867774118701</v>
          </cell>
          <cell r="AU64">
            <v>3.2186285028736989</v>
          </cell>
          <cell r="AV64">
            <v>7.6369559670990554</v>
          </cell>
          <cell r="AW64">
            <v>-18.287845023002063</v>
          </cell>
          <cell r="AX64">
            <v>-48.532540588747878</v>
          </cell>
          <cell r="AY64">
            <v>88.195438924583343</v>
          </cell>
          <cell r="AZ64">
            <v>131.97944430051126</v>
          </cell>
          <cell r="BA64">
            <v>192.66109486411841</v>
          </cell>
          <cell r="BB64">
            <v>220.18666461771841</v>
          </cell>
          <cell r="BC64">
            <v>298.32444641547562</v>
          </cell>
          <cell r="BD64">
            <v>339.66331182725338</v>
          </cell>
          <cell r="BE64">
            <v>421.11914932948463</v>
          </cell>
          <cell r="BF64">
            <v>476.4102810341513</v>
          </cell>
          <cell r="BG64">
            <v>568.37135597348458</v>
          </cell>
          <cell r="BH64">
            <v>88.898051412212567</v>
          </cell>
          <cell r="BI64">
            <v>158.98177863141225</v>
          </cell>
          <cell r="BJ64">
            <v>232.89389877812647</v>
          </cell>
          <cell r="BK64">
            <v>279.52933630584516</v>
          </cell>
          <cell r="BL64">
            <v>354.44848960072864</v>
          </cell>
          <cell r="BM64">
            <v>388.15039904540737</v>
          </cell>
          <cell r="BN64">
            <v>487.89408157064065</v>
          </cell>
          <cell r="BO64">
            <v>591.71775386405523</v>
          </cell>
          <cell r="BP64">
            <v>656.39143611166833</v>
          </cell>
          <cell r="BQ64">
            <v>-0.70261248762922435</v>
          </cell>
          <cell r="BR64">
            <v>-27.002334330900993</v>
          </cell>
          <cell r="BS64">
            <v>-40.232803914008059</v>
          </cell>
          <cell r="BT64">
            <v>-59.342671688126757</v>
          </cell>
          <cell r="BU64">
            <v>-56.124043185253015</v>
          </cell>
          <cell r="BV64">
            <v>-48.487087218153988</v>
          </cell>
          <cell r="BW64">
            <v>-66.774932241156023</v>
          </cell>
          <cell r="BX64">
            <v>-115.30747282990393</v>
          </cell>
          <cell r="BY64">
            <v>-88.020080138183744</v>
          </cell>
          <cell r="BZ64">
            <v>28.481604939999997</v>
          </cell>
          <cell r="CA64">
            <v>33.021880260000003</v>
          </cell>
          <cell r="CB64">
            <v>32.124372000000001</v>
          </cell>
          <cell r="CC64">
            <v>131.97944430051126</v>
          </cell>
          <cell r="CD64">
            <v>93.627857199999994</v>
          </cell>
          <cell r="CE64">
            <v>38.351587100511267</v>
          </cell>
          <cell r="CF64">
            <v>40.961726827292246</v>
          </cell>
        </row>
        <row r="65">
          <cell r="G65" t="str">
            <v>Pagos de Gobierno por Tesorería</v>
          </cell>
          <cell r="L65">
            <v>737.07764827603137</v>
          </cell>
          <cell r="N65">
            <v>737.07764827603137</v>
          </cell>
          <cell r="O65">
            <v>30.094171046333337</v>
          </cell>
          <cell r="P65">
            <v>58.101267878250006</v>
          </cell>
          <cell r="Q65">
            <v>43.784005375927912</v>
          </cell>
          <cell r="R65">
            <v>60.681650563607135</v>
          </cell>
          <cell r="S65">
            <v>27.525569753600006</v>
          </cell>
          <cell r="T65">
            <v>78.137781797757199</v>
          </cell>
          <cell r="U65">
            <v>41.338865411777768</v>
          </cell>
          <cell r="V65">
            <v>81.455837502231233</v>
          </cell>
          <cell r="W65">
            <v>55.291131704666668</v>
          </cell>
          <cell r="X65">
            <v>91.961074939333315</v>
          </cell>
          <cell r="Y65">
            <v>17.176346539000001</v>
          </cell>
          <cell r="Z65">
            <v>63.657850825566527</v>
          </cell>
          <cell r="AA65">
            <v>649.205553338051</v>
          </cell>
          <cell r="AB65">
            <v>0.68491535126767444</v>
          </cell>
          <cell r="AC65" t="str">
            <v xml:space="preserve"> </v>
          </cell>
          <cell r="AD65">
            <v>0.68491535126767444</v>
          </cell>
          <cell r="AE65">
            <v>33.701909444678712</v>
          </cell>
          <cell r="AF65">
            <v>55.196141967533862</v>
          </cell>
          <cell r="AG65">
            <v>70.083727219199687</v>
          </cell>
          <cell r="AH65">
            <v>73.91212014671423</v>
          </cell>
          <cell r="AI65">
            <v>46.635437527718707</v>
          </cell>
          <cell r="AJ65">
            <v>74.9191532948835</v>
          </cell>
          <cell r="AK65">
            <v>33.701909444678712</v>
          </cell>
          <cell r="AL65">
            <v>99.743682525233297</v>
          </cell>
          <cell r="AM65">
            <v>103.82367229341455</v>
          </cell>
          <cell r="AN65">
            <v>64.673682247613073</v>
          </cell>
          <cell r="AO65">
            <v>30.745509118916949</v>
          </cell>
          <cell r="AP65">
            <v>-3.6077383983453757</v>
          </cell>
          <cell r="AQ65">
            <v>2.9051259107161442</v>
          </cell>
          <cell r="AR65">
            <v>-26.299721843271776</v>
          </cell>
          <cell r="AS65">
            <v>-13.230469583107094</v>
          </cell>
          <cell r="AT65">
            <v>-19.109867774118701</v>
          </cell>
          <cell r="AU65">
            <v>3.2186285028736989</v>
          </cell>
          <cell r="AV65">
            <v>7.6369559670990554</v>
          </cell>
          <cell r="AW65">
            <v>-18.287845023002063</v>
          </cell>
          <cell r="AX65">
            <v>-48.532540588747878</v>
          </cell>
          <cell r="AY65">
            <v>88.195438924583343</v>
          </cell>
          <cell r="AZ65">
            <v>131.97944430051126</v>
          </cell>
          <cell r="BA65">
            <v>192.66109486411841</v>
          </cell>
          <cell r="BB65">
            <v>220.18666461771841</v>
          </cell>
          <cell r="BC65">
            <v>298.32444641547562</v>
          </cell>
          <cell r="BD65">
            <v>339.66331182725338</v>
          </cell>
          <cell r="BE65">
            <v>421.11914932948463</v>
          </cell>
          <cell r="BF65">
            <v>476.4102810341513</v>
          </cell>
          <cell r="BG65">
            <v>568.37135597348458</v>
          </cell>
          <cell r="BH65">
            <v>88.898051412212567</v>
          </cell>
          <cell r="BI65">
            <v>158.98177863141225</v>
          </cell>
          <cell r="BJ65">
            <v>232.89389877812647</v>
          </cell>
          <cell r="BK65">
            <v>279.52933630584516</v>
          </cell>
          <cell r="BL65">
            <v>354.44848960072864</v>
          </cell>
          <cell r="BM65">
            <v>388.15039904540737</v>
          </cell>
          <cell r="BN65">
            <v>487.89408157064065</v>
          </cell>
          <cell r="BO65">
            <v>591.71775386405523</v>
          </cell>
          <cell r="BP65">
            <v>656.39143611166833</v>
          </cell>
          <cell r="BQ65">
            <v>-0.70261248762922435</v>
          </cell>
          <cell r="BR65">
            <v>-27.002334330900993</v>
          </cell>
          <cell r="BS65">
            <v>-40.232803914008059</v>
          </cell>
          <cell r="BT65">
            <v>-59.342671688126757</v>
          </cell>
          <cell r="BU65">
            <v>-56.124043185253015</v>
          </cell>
          <cell r="BV65">
            <v>-48.487087218153988</v>
          </cell>
          <cell r="BW65">
            <v>-66.774932241156023</v>
          </cell>
          <cell r="BX65">
            <v>-115.30747282990393</v>
          </cell>
          <cell r="BY65">
            <v>-88.020080138183744</v>
          </cell>
          <cell r="BZ65">
            <v>28.863504939999999</v>
          </cell>
          <cell r="CA65">
            <v>43.43188026</v>
          </cell>
          <cell r="CB65">
            <v>32.124372000000001</v>
          </cell>
          <cell r="CC65">
            <v>131.97944430051126</v>
          </cell>
          <cell r="CD65">
            <v>104.41975719999999</v>
          </cell>
          <cell r="CE65">
            <v>27.559687100511269</v>
          </cell>
          <cell r="CF65">
            <v>26.393172939221564</v>
          </cell>
        </row>
        <row r="66">
          <cell r="G66" t="str">
            <v>Menos Bonos Dec.4308, Ley 55 y Dec. 700</v>
          </cell>
          <cell r="L66">
            <v>-56.5</v>
          </cell>
          <cell r="N66">
            <v>-56.5</v>
          </cell>
          <cell r="AA66">
            <v>0</v>
          </cell>
          <cell r="AB66">
            <v>-5.2501547750273832E-2</v>
          </cell>
          <cell r="AC66" t="str">
            <v xml:space="preserve"> </v>
          </cell>
          <cell r="AD66">
            <v>-5.2501547750273832E-2</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-0.38190000000000002</v>
          </cell>
          <cell r="CA66">
            <v>-10.41</v>
          </cell>
          <cell r="CB66">
            <v>0</v>
          </cell>
          <cell r="CC66">
            <v>0</v>
          </cell>
          <cell r="CD66">
            <v>-10.7919</v>
          </cell>
          <cell r="CE66">
            <v>10.7919</v>
          </cell>
          <cell r="CF66">
            <v>100</v>
          </cell>
        </row>
        <row r="67">
          <cell r="AX67">
            <v>0</v>
          </cell>
          <cell r="BN67">
            <v>0</v>
          </cell>
          <cell r="BO67">
            <v>0</v>
          </cell>
          <cell r="BP67">
            <v>0</v>
          </cell>
          <cell r="BW67">
            <v>0</v>
          </cell>
          <cell r="BX67">
            <v>0</v>
          </cell>
          <cell r="BY67">
            <v>0</v>
          </cell>
        </row>
        <row r="68">
          <cell r="AX68">
            <v>0</v>
          </cell>
          <cell r="BN68">
            <v>0</v>
          </cell>
          <cell r="BO68">
            <v>0</v>
          </cell>
          <cell r="BP68">
            <v>0</v>
          </cell>
          <cell r="BW68">
            <v>0</v>
          </cell>
          <cell r="BX68">
            <v>0</v>
          </cell>
          <cell r="BY68">
            <v>0</v>
          </cell>
        </row>
        <row r="69">
          <cell r="L69">
            <v>-1815.6808864698833</v>
          </cell>
          <cell r="M69">
            <v>-126.89999999999999</v>
          </cell>
          <cell r="N69">
            <v>-1942.5808864698829</v>
          </cell>
          <cell r="Q69">
            <v>-445.39502127331752</v>
          </cell>
          <cell r="R69">
            <v>-197.47139198043283</v>
          </cell>
          <cell r="S69">
            <v>-279.30859940319692</v>
          </cell>
          <cell r="T69">
            <v>216.32875682968938</v>
          </cell>
          <cell r="U69">
            <v>-98.808356011792966</v>
          </cell>
          <cell r="V69">
            <v>357.72888966002097</v>
          </cell>
          <cell r="W69">
            <v>-484.28307522222531</v>
          </cell>
          <cell r="X69">
            <v>232.22477878003292</v>
          </cell>
          <cell r="Y69">
            <v>-234.47440347146949</v>
          </cell>
          <cell r="Z69">
            <v>67.156309439434835</v>
          </cell>
          <cell r="AA69">
            <v>-1004.6721324599114</v>
          </cell>
          <cell r="AB69">
            <v>-1.6871868453143024</v>
          </cell>
          <cell r="AC69">
            <v>-0.11791940547804865</v>
          </cell>
          <cell r="AD69">
            <v>-1.8051062507923508</v>
          </cell>
          <cell r="AE69">
            <v>-342.42051332934034</v>
          </cell>
          <cell r="AF69">
            <v>406.54498249970561</v>
          </cell>
          <cell r="AG69">
            <v>-666.02484487698825</v>
          </cell>
          <cell r="AH69">
            <v>-139.50961375217958</v>
          </cell>
          <cell r="AI69">
            <v>-349.43378398148525</v>
          </cell>
          <cell r="AJ69">
            <v>139.11951925919243</v>
          </cell>
          <cell r="AK69">
            <v>-147.46399630213136</v>
          </cell>
          <cell r="AL69">
            <v>99.859936070350159</v>
          </cell>
          <cell r="AM69">
            <v>-575.21163207220479</v>
          </cell>
          <cell r="AN69">
            <v>229.40283581708059</v>
          </cell>
          <cell r="AO69">
            <v>-409.18258179056477</v>
          </cell>
          <cell r="AP69">
            <v>-54.90637721763926</v>
          </cell>
          <cell r="AQ69">
            <v>-147.58811175938035</v>
          </cell>
          <cell r="AR69">
            <v>220.62982360367073</v>
          </cell>
          <cell r="AS69">
            <v>-57.961778228253252</v>
          </cell>
          <cell r="AT69">
            <v>70.125184578288327</v>
          </cell>
          <cell r="AU69">
            <v>77.209237570496953</v>
          </cell>
          <cell r="AV69">
            <v>48.655640290338397</v>
          </cell>
          <cell r="AW69">
            <v>257.86895358967081</v>
          </cell>
          <cell r="AX69">
            <v>90.928556849979486</v>
          </cell>
          <cell r="AY69">
            <v>-148.20612437927457</v>
          </cell>
          <cell r="AZ69">
            <v>-601.56673350996152</v>
          </cell>
          <cell r="BA69">
            <v>-802.56271764178473</v>
          </cell>
          <cell r="BB69">
            <v>-1085.4142173241407</v>
          </cell>
          <cell r="BC69">
            <v>-873.8272846691325</v>
          </cell>
          <cell r="BD69">
            <v>-975.3575400406171</v>
          </cell>
          <cell r="BE69">
            <v>-620.74095300323643</v>
          </cell>
          <cell r="BF69">
            <v>-1113.4426234460498</v>
          </cell>
          <cell r="BG69">
            <v>-881.21784466601457</v>
          </cell>
          <cell r="BH69">
            <v>6.1256000615321682</v>
          </cell>
          <cell r="BI69">
            <v>-601.90037570662298</v>
          </cell>
          <cell r="BJ69">
            <v>-741.40998945880165</v>
          </cell>
          <cell r="BK69">
            <v>-1090.8437734402869</v>
          </cell>
          <cell r="BL69">
            <v>-951.72425418109469</v>
          </cell>
          <cell r="BM69">
            <v>-1099.1882504832265</v>
          </cell>
          <cell r="BN69">
            <v>-999.32831441287658</v>
          </cell>
          <cell r="BO69">
            <v>-1574.5399464850814</v>
          </cell>
          <cell r="BP69">
            <v>-1345.1371106680008</v>
          </cell>
          <cell r="BQ69">
            <v>-154.33172444080657</v>
          </cell>
          <cell r="BR69">
            <v>0.33364219666083272</v>
          </cell>
          <cell r="BS69">
            <v>-61.152728182982742</v>
          </cell>
          <cell r="BT69">
            <v>5.4295561161453136</v>
          </cell>
          <cell r="BU69">
            <v>77.8969695119618</v>
          </cell>
          <cell r="BV69">
            <v>123.83071044260976</v>
          </cell>
          <cell r="BW69">
            <v>378.58736140964015</v>
          </cell>
          <cell r="BX69">
            <v>461.09732303903161</v>
          </cell>
          <cell r="BY69">
            <v>463.91926600198622</v>
          </cell>
          <cell r="BZ69">
            <v>-223.73991493999995</v>
          </cell>
          <cell r="CA69">
            <v>204.57784495400028</v>
          </cell>
          <cell r="CB69">
            <v>-284.70977049999999</v>
          </cell>
          <cell r="CC69">
            <v>-601.56673350996152</v>
          </cell>
          <cell r="CD69">
            <v>-303.87184048600056</v>
          </cell>
          <cell r="CE69">
            <v>-297.69489302396096</v>
          </cell>
          <cell r="CF69">
            <v>97.967252427154676</v>
          </cell>
        </row>
        <row r="70">
          <cell r="AX70">
            <v>0</v>
          </cell>
          <cell r="BN70">
            <v>0</v>
          </cell>
          <cell r="BO70">
            <v>0</v>
          </cell>
        </row>
        <row r="71">
          <cell r="L71" t="e">
            <v>#REF!</v>
          </cell>
          <cell r="M71" t="e">
            <v>#REF!</v>
          </cell>
          <cell r="N71" t="e">
            <v>#REF!</v>
          </cell>
          <cell r="Q71">
            <v>404.7786453096212</v>
          </cell>
          <cell r="R71">
            <v>265.80763936931908</v>
          </cell>
          <cell r="S71">
            <v>241.58523357122994</v>
          </cell>
          <cell r="T71">
            <v>258.14069976800113</v>
          </cell>
          <cell r="U71">
            <v>246.26153916855324</v>
          </cell>
          <cell r="V71">
            <v>254.81999630365004</v>
          </cell>
          <cell r="W71">
            <v>217.43101778686668</v>
          </cell>
          <cell r="X71">
            <v>294.67137153757579</v>
          </cell>
          <cell r="Y71">
            <v>292.82296226800003</v>
          </cell>
          <cell r="Z71">
            <v>671.79916426696855</v>
          </cell>
          <cell r="AA71">
            <v>3593.7375903045527</v>
          </cell>
          <cell r="AB71" t="e">
            <v>#VALUE!</v>
          </cell>
          <cell r="AC71" t="e">
            <v>#VALUE!</v>
          </cell>
          <cell r="AD71">
            <v>2.6715333763513591</v>
          </cell>
          <cell r="AE71">
            <v>233.55099404603934</v>
          </cell>
          <cell r="AF71">
            <v>376.67698818875624</v>
          </cell>
          <cell r="AG71">
            <v>566.83263536502761</v>
          </cell>
          <cell r="AH71">
            <v>243.77043497050661</v>
          </cell>
          <cell r="AI71">
            <v>212.5075514024339</v>
          </cell>
          <cell r="AJ71">
            <v>245.09899648454331</v>
          </cell>
          <cell r="AK71">
            <v>225.82966824904469</v>
          </cell>
          <cell r="AL71">
            <v>120.99124882127424</v>
          </cell>
          <cell r="AM71">
            <v>148.21699874495661</v>
          </cell>
          <cell r="AN71">
            <v>318.21058238754068</v>
          </cell>
          <cell r="AO71">
            <v>140.61762979284902</v>
          </cell>
          <cell r="AP71">
            <v>-82.345610499372668</v>
          </cell>
          <cell r="AQ71">
            <v>-82.263050780656215</v>
          </cell>
          <cell r="AR71">
            <v>-162.05399005540642</v>
          </cell>
          <cell r="AS71">
            <v>22.037204398812463</v>
          </cell>
          <cell r="AT71">
            <v>29.077682168796031</v>
          </cell>
          <cell r="AU71">
            <v>13.041703283457821</v>
          </cell>
          <cell r="AV71">
            <v>20.431870919508555</v>
          </cell>
          <cell r="AW71">
            <v>133.8287474823758</v>
          </cell>
          <cell r="AX71">
            <v>69.214019041910063</v>
          </cell>
          <cell r="AY71">
            <v>445.61932095476669</v>
          </cell>
          <cell r="AZ71">
            <v>850.39796626438783</v>
          </cell>
          <cell r="BA71">
            <v>1116.2056056337069</v>
          </cell>
          <cell r="BB71">
            <v>1357.7908392049369</v>
          </cell>
          <cell r="BC71">
            <v>1615.9315389729379</v>
          </cell>
          <cell r="BD71">
            <v>1862.1930781414912</v>
          </cell>
          <cell r="BE71">
            <v>2117.0130744451412</v>
          </cell>
          <cell r="BF71">
            <v>2334.4440922320077</v>
          </cell>
          <cell r="BG71">
            <v>2629.1154637695831</v>
          </cell>
          <cell r="BH71">
            <v>610.22798223479549</v>
          </cell>
          <cell r="BI71">
            <v>1177.0606175998232</v>
          </cell>
          <cell r="BJ71">
            <v>1420.8310525703296</v>
          </cell>
          <cell r="BK71">
            <v>1633.3386039727634</v>
          </cell>
          <cell r="BL71">
            <v>1878.4376004573069</v>
          </cell>
          <cell r="BM71">
            <v>2104.2672687063509</v>
          </cell>
          <cell r="BN71">
            <v>2225.2585175276258</v>
          </cell>
          <cell r="BO71">
            <v>2373.4755162725824</v>
          </cell>
          <cell r="BP71">
            <v>2691.6860986601232</v>
          </cell>
          <cell r="BQ71">
            <v>-164.60866128002888</v>
          </cell>
          <cell r="BR71">
            <v>-326.66265133543533</v>
          </cell>
          <cell r="BS71">
            <v>-304.62544693662289</v>
          </cell>
          <cell r="BT71">
            <v>-275.54776476782672</v>
          </cell>
          <cell r="BU71">
            <v>-262.5060614843689</v>
          </cell>
          <cell r="BV71">
            <v>-242.07419056486026</v>
          </cell>
          <cell r="BW71">
            <v>-108.2454430824846</v>
          </cell>
          <cell r="BX71">
            <v>-39.03142404057462</v>
          </cell>
          <cell r="BY71">
            <v>-62.570634890540077</v>
          </cell>
          <cell r="BZ71" t="e">
            <v>#REF!</v>
          </cell>
          <cell r="CA71" t="e">
            <v>#REF!</v>
          </cell>
          <cell r="CB71" t="e">
            <v>#REF!</v>
          </cell>
          <cell r="CC71">
            <v>850.39796626438783</v>
          </cell>
          <cell r="CD71" t="e">
            <v>#REF!</v>
          </cell>
          <cell r="CE71" t="e">
            <v>#REF!</v>
          </cell>
          <cell r="CF71" t="e">
            <v>#REF!</v>
          </cell>
        </row>
        <row r="72">
          <cell r="E72" t="str">
            <v>Pagos de Tesorería</v>
          </cell>
          <cell r="L72">
            <v>3514.7940188775583</v>
          </cell>
          <cell r="N72">
            <v>3514.7940188775583</v>
          </cell>
          <cell r="O72">
            <v>174.4589679</v>
          </cell>
          <cell r="P72">
            <v>344.26113530559996</v>
          </cell>
          <cell r="Q72">
            <v>446.07478770851003</v>
          </cell>
          <cell r="R72">
            <v>286.61469061841001</v>
          </cell>
          <cell r="S72">
            <v>263.49508699622999</v>
          </cell>
          <cell r="T72">
            <v>288.22889391689</v>
          </cell>
          <cell r="U72">
            <v>292.79478604021995</v>
          </cell>
          <cell r="V72">
            <v>298.83532918865001</v>
          </cell>
          <cell r="W72">
            <v>278.4794187402</v>
          </cell>
          <cell r="X72">
            <v>354.03609999999998</v>
          </cell>
          <cell r="Y72">
            <v>335.36387422000001</v>
          </cell>
          <cell r="Z72">
            <v>709.13866272752421</v>
          </cell>
          <cell r="AA72">
            <v>4071.7817333622338</v>
          </cell>
          <cell r="AB72">
            <v>3.2660553276898581</v>
          </cell>
          <cell r="AC72" t="str">
            <v xml:space="preserve"> </v>
          </cell>
          <cell r="AD72">
            <v>3.2660553276898581</v>
          </cell>
          <cell r="AE72">
            <v>231.0275881636864</v>
          </cell>
          <cell r="AF72">
            <v>368.1</v>
          </cell>
          <cell r="AG72">
            <v>592.79030718091258</v>
          </cell>
          <cell r="AH72">
            <v>252.99941535282608</v>
          </cell>
          <cell r="AI72">
            <v>220.53273162984632</v>
          </cell>
          <cell r="AJ72">
            <v>288.03308634826163</v>
          </cell>
          <cell r="AK72">
            <v>271.8774886372143</v>
          </cell>
          <cell r="AL72">
            <v>226.96551584542317</v>
          </cell>
          <cell r="AM72">
            <v>234.8606634210708</v>
          </cell>
          <cell r="AN72">
            <v>369.89976459090315</v>
          </cell>
          <cell r="AO72">
            <v>247.67866217899549</v>
          </cell>
          <cell r="AP72">
            <v>-56.568620263686398</v>
          </cell>
          <cell r="AQ72">
            <v>-23.838864694400058</v>
          </cell>
          <cell r="AR72">
            <v>-146.71551947240255</v>
          </cell>
          <cell r="AS72">
            <v>33.615275265583932</v>
          </cell>
          <cell r="AT72">
            <v>42.962355366383662</v>
          </cell>
          <cell r="AU72">
            <v>0.19580756862836779</v>
          </cell>
          <cell r="AV72">
            <v>20.917297403005648</v>
          </cell>
          <cell r="AW72">
            <v>71.869813343226838</v>
          </cell>
          <cell r="AX72">
            <v>43.618755319129207</v>
          </cell>
          <cell r="AY72">
            <v>518.72010320560003</v>
          </cell>
          <cell r="AZ72">
            <v>964.79489091411006</v>
          </cell>
          <cell r="BA72">
            <v>1251.40958153252</v>
          </cell>
          <cell r="BB72">
            <v>1514.9046685287499</v>
          </cell>
          <cell r="BC72">
            <v>1803.1335624456399</v>
          </cell>
          <cell r="BD72">
            <v>2095.9283484858597</v>
          </cell>
          <cell r="BE72">
            <v>2394.7636776745098</v>
          </cell>
          <cell r="BF72">
            <v>2673.2430964147097</v>
          </cell>
          <cell r="BG72">
            <v>3027.2791964147095</v>
          </cell>
          <cell r="BH72">
            <v>599.12758816368637</v>
          </cell>
          <cell r="BI72">
            <v>1191.9178953445989</v>
          </cell>
          <cell r="BJ72">
            <v>1444.9173106974249</v>
          </cell>
          <cell r="BK72">
            <v>1665.4500423272711</v>
          </cell>
          <cell r="BL72">
            <v>1953.4831286755327</v>
          </cell>
          <cell r="BM72">
            <v>2225.3606173127469</v>
          </cell>
          <cell r="BN72">
            <v>2452.3261331581698</v>
          </cell>
          <cell r="BO72">
            <v>2687.1867965792408</v>
          </cell>
          <cell r="BP72">
            <v>3057.0865611701438</v>
          </cell>
          <cell r="BQ72">
            <v>-80.407484958086343</v>
          </cell>
          <cell r="BR72">
            <v>-227.12300443048889</v>
          </cell>
          <cell r="BS72">
            <v>-193.50772916490496</v>
          </cell>
          <cell r="BT72">
            <v>-150.54537379852127</v>
          </cell>
          <cell r="BU72">
            <v>-150.34956622989284</v>
          </cell>
          <cell r="BV72">
            <v>-129.43226882688714</v>
          </cell>
          <cell r="BW72">
            <v>-57.56245548365996</v>
          </cell>
          <cell r="BX72">
            <v>-13.943700164531037</v>
          </cell>
          <cell r="BY72">
            <v>-29.807364755434264</v>
          </cell>
          <cell r="BZ72">
            <v>134.78899999999999</v>
          </cell>
          <cell r="CA72">
            <v>242.17066299999999</v>
          </cell>
          <cell r="CB72">
            <v>403.38990000000001</v>
          </cell>
          <cell r="CC72">
            <v>964.79489091411006</v>
          </cell>
          <cell r="CD72">
            <v>780.34956299999999</v>
          </cell>
          <cell r="CE72">
            <v>184.44532791411007</v>
          </cell>
          <cell r="CF72">
            <v>23.636244147433459</v>
          </cell>
        </row>
        <row r="73">
          <cell r="E73" t="str">
            <v>Más:</v>
          </cell>
          <cell r="N73">
            <v>0</v>
          </cell>
          <cell r="O73">
            <v>6.5908008734032561E-2</v>
          </cell>
          <cell r="P73">
            <v>7.2595369806343762E-2</v>
          </cell>
          <cell r="Q73">
            <v>2.324987539434778E-2</v>
          </cell>
          <cell r="R73">
            <v>4.5977750838899697E-2</v>
          </cell>
          <cell r="S73">
            <v>0.23697525922649668</v>
          </cell>
          <cell r="T73">
            <v>1.1475324538318397E-2</v>
          </cell>
          <cell r="U73">
            <v>0.11748336283242911</v>
          </cell>
          <cell r="V73">
            <v>0.20668019247664488</v>
          </cell>
          <cell r="W73">
            <v>6.0581415522627108E-2</v>
          </cell>
          <cell r="X73">
            <v>0.15907344062985995</v>
          </cell>
          <cell r="Y73">
            <v>0</v>
          </cell>
          <cell r="Z73">
            <v>0</v>
          </cell>
          <cell r="AB73" t="str">
            <v xml:space="preserve"> </v>
          </cell>
          <cell r="AC73" t="str">
            <v xml:space="preserve"> </v>
          </cell>
          <cell r="AD73" t="str">
            <v xml:space="preserve"> </v>
          </cell>
          <cell r="AP73">
            <v>0</v>
          </cell>
          <cell r="AQ73">
            <v>0</v>
          </cell>
          <cell r="AR73">
            <v>0</v>
          </cell>
          <cell r="AS73">
            <v>0</v>
          </cell>
          <cell r="AT73">
            <v>0</v>
          </cell>
          <cell r="AU73">
            <v>0</v>
          </cell>
          <cell r="AV73">
            <v>0</v>
          </cell>
          <cell r="AW73">
            <v>0</v>
          </cell>
          <cell r="AX73">
            <v>0</v>
          </cell>
          <cell r="BN73">
            <v>0</v>
          </cell>
          <cell r="BO73">
            <v>0</v>
          </cell>
        </row>
        <row r="74">
          <cell r="F74" t="str">
            <v>Pagos en el Exterior Diferente de Militares</v>
          </cell>
          <cell r="L74">
            <v>0</v>
          </cell>
          <cell r="M74">
            <v>145.19999999999999</v>
          </cell>
          <cell r="N74">
            <v>145.19999999999999</v>
          </cell>
          <cell r="O74">
            <v>2.5923078533333341</v>
          </cell>
          <cell r="P74">
            <v>2.855336565</v>
          </cell>
          <cell r="Q74">
            <v>0.91446905666666689</v>
          </cell>
          <cell r="R74">
            <v>1.8084066999999997</v>
          </cell>
          <cell r="S74">
            <v>9.3207614270000025</v>
          </cell>
          <cell r="T74">
            <v>0.45134991166666677</v>
          </cell>
          <cell r="U74">
            <v>4.6208806783333314</v>
          </cell>
          <cell r="V74">
            <v>8.1291894016666664</v>
          </cell>
          <cell r="W74">
            <v>2.3828011533333333</v>
          </cell>
          <cell r="X74">
            <v>6.256710486666667</v>
          </cell>
          <cell r="Y74">
            <v>0</v>
          </cell>
          <cell r="Z74">
            <v>0</v>
          </cell>
          <cell r="AA74">
            <v>39.332213233666671</v>
          </cell>
          <cell r="AB74" t="str">
            <v xml:space="preserve"> </v>
          </cell>
          <cell r="AC74">
            <v>0.13492433156353556</v>
          </cell>
          <cell r="AD74">
            <v>0.13492433156353556</v>
          </cell>
          <cell r="AE74">
            <v>15.65</v>
          </cell>
          <cell r="AF74">
            <v>40.5</v>
          </cell>
          <cell r="AG74">
            <v>12.904</v>
          </cell>
          <cell r="AH74">
            <v>13.2</v>
          </cell>
          <cell r="AI74">
            <v>14.2</v>
          </cell>
          <cell r="AJ74">
            <v>15.2</v>
          </cell>
          <cell r="AK74">
            <v>16.2</v>
          </cell>
          <cell r="AL74">
            <v>17.2</v>
          </cell>
          <cell r="AM74">
            <v>18.2</v>
          </cell>
          <cell r="AN74">
            <v>19.2</v>
          </cell>
          <cell r="AO74">
            <v>20.2</v>
          </cell>
          <cell r="AP74">
            <v>-13.057692146666666</v>
          </cell>
          <cell r="AQ74">
            <v>-37.644663434999998</v>
          </cell>
          <cell r="AR74">
            <v>-11.989530943333333</v>
          </cell>
          <cell r="AS74">
            <v>-11.3915933</v>
          </cell>
          <cell r="AT74">
            <v>-4.8792385729999967</v>
          </cell>
          <cell r="AU74">
            <v>-14.748650088333333</v>
          </cell>
          <cell r="AV74">
            <v>-11.579119321666667</v>
          </cell>
          <cell r="AW74">
            <v>-9.0708105983333329</v>
          </cell>
          <cell r="AX74">
            <v>-15.817198846666667</v>
          </cell>
          <cell r="AY74">
            <v>5.4476444183333346</v>
          </cell>
          <cell r="AZ74">
            <v>6.362113475000001</v>
          </cell>
          <cell r="BA74">
            <v>8.1705201750000001</v>
          </cell>
          <cell r="BB74">
            <v>17.491281602000001</v>
          </cell>
          <cell r="BC74">
            <v>17.942631513666669</v>
          </cell>
          <cell r="BD74">
            <v>22.563512192000001</v>
          </cell>
          <cell r="BE74">
            <v>30.692701593666669</v>
          </cell>
          <cell r="BF74">
            <v>33.075502747000002</v>
          </cell>
          <cell r="BG74">
            <v>39.332213233666671</v>
          </cell>
          <cell r="BH74">
            <v>56.15</v>
          </cell>
          <cell r="BI74">
            <v>69.054000000000002</v>
          </cell>
          <cell r="BJ74">
            <v>82.254000000000005</v>
          </cell>
          <cell r="BK74">
            <v>96.454000000000008</v>
          </cell>
          <cell r="BL74">
            <v>111.65400000000001</v>
          </cell>
          <cell r="BM74">
            <v>127.85400000000001</v>
          </cell>
          <cell r="BN74">
            <v>145.054</v>
          </cell>
          <cell r="BO74">
            <v>163.25399999999999</v>
          </cell>
          <cell r="BP74">
            <v>182.45399999999998</v>
          </cell>
          <cell r="BQ74">
            <v>-50.702355581666666</v>
          </cell>
          <cell r="BR74">
            <v>-62.691886525000001</v>
          </cell>
          <cell r="BS74">
            <v>-74.083479825000012</v>
          </cell>
          <cell r="BT74">
            <v>-78.962718398000007</v>
          </cell>
          <cell r="BU74">
            <v>-93.711368486333342</v>
          </cell>
          <cell r="BV74">
            <v>-105.29048780800001</v>
          </cell>
          <cell r="BW74">
            <v>-114.36129840633333</v>
          </cell>
          <cell r="BX74">
            <v>-130.17849725299999</v>
          </cell>
          <cell r="BY74">
            <v>-143.12178676633332</v>
          </cell>
          <cell r="BZ74">
            <v>1.2943359999999999</v>
          </cell>
          <cell r="CA74">
            <v>7.2988343999999987</v>
          </cell>
          <cell r="CB74">
            <v>3.3513150000000005</v>
          </cell>
          <cell r="CC74">
            <v>6.362113475000001</v>
          </cell>
          <cell r="CD74">
            <v>11.944485399999998</v>
          </cell>
          <cell r="CE74">
            <v>-5.5823719249999968</v>
          </cell>
          <cell r="CF74">
            <v>-46.735976796455361</v>
          </cell>
        </row>
        <row r="75">
          <cell r="F75" t="str">
            <v>Menos Transferencias</v>
          </cell>
          <cell r="L75">
            <v>-346.29999999999995</v>
          </cell>
          <cell r="M75">
            <v>0</v>
          </cell>
          <cell r="N75">
            <v>-346.29999999999995</v>
          </cell>
          <cell r="O75">
            <v>-11.120173399999999</v>
          </cell>
          <cell r="P75">
            <v>-29.652177999999999</v>
          </cell>
          <cell r="Q75">
            <v>-10.730986</v>
          </cell>
          <cell r="R75">
            <v>-5.4240189999999995</v>
          </cell>
          <cell r="S75">
            <v>-14.851702899999999</v>
          </cell>
          <cell r="T75">
            <v>-13.2781456</v>
          </cell>
          <cell r="U75">
            <v>-40.577399999999997</v>
          </cell>
          <cell r="V75">
            <v>-20.845372000000001</v>
          </cell>
          <cell r="W75">
            <v>-31.52</v>
          </cell>
          <cell r="X75">
            <v>-31.52</v>
          </cell>
          <cell r="Y75">
            <v>-15.52</v>
          </cell>
          <cell r="Z75">
            <v>-10.82</v>
          </cell>
          <cell r="AA75">
            <v>-235.85997690000002</v>
          </cell>
          <cell r="AB75">
            <v>-0.32179267231716502</v>
          </cell>
          <cell r="AC75" t="str">
            <v xml:space="preserve"> </v>
          </cell>
          <cell r="AD75">
            <v>-0.32179267231716502</v>
          </cell>
          <cell r="AE75">
            <v>0</v>
          </cell>
          <cell r="AF75">
            <v>-1.4073423994790084</v>
          </cell>
          <cell r="AG75">
            <v>-8.4886565217673784</v>
          </cell>
          <cell r="AH75">
            <v>-13.209656852907692</v>
          </cell>
          <cell r="AI75">
            <v>-1.1169049332947674</v>
          </cell>
          <cell r="AJ75">
            <v>-26.974367510777135</v>
          </cell>
          <cell r="AK75">
            <v>-23.559686270522533</v>
          </cell>
          <cell r="AL75">
            <v>-99.783051730031275</v>
          </cell>
          <cell r="AM75">
            <v>-67.327521146702423</v>
          </cell>
          <cell r="AN75">
            <v>-33.373038673950695</v>
          </cell>
          <cell r="AO75">
            <v>-35.530150621440647</v>
          </cell>
          <cell r="AP75">
            <v>-11.120173399999999</v>
          </cell>
          <cell r="AQ75">
            <v>-28.24483560052099</v>
          </cell>
          <cell r="AR75">
            <v>-2.2423294782326213</v>
          </cell>
          <cell r="AS75">
            <v>7.7856378529076924</v>
          </cell>
          <cell r="AT75">
            <v>-13.734797966705232</v>
          </cell>
          <cell r="AU75">
            <v>13.696221910777135</v>
          </cell>
          <cell r="AV75">
            <v>-17.017713729477464</v>
          </cell>
          <cell r="AW75">
            <v>78.937679730031277</v>
          </cell>
          <cell r="AX75">
            <v>35.807521146702427</v>
          </cell>
          <cell r="AY75">
            <v>-40.772351400000005</v>
          </cell>
          <cell r="AZ75">
            <v>-51.503337399999999</v>
          </cell>
          <cell r="BA75">
            <v>-56.927356400000001</v>
          </cell>
          <cell r="BB75">
            <v>-71.7790593</v>
          </cell>
          <cell r="BC75">
            <v>-85.057204900000002</v>
          </cell>
          <cell r="BD75">
            <v>-125.6346049</v>
          </cell>
          <cell r="BE75">
            <v>-146.4799769</v>
          </cell>
          <cell r="BF75">
            <v>-177.99997689999998</v>
          </cell>
          <cell r="BG75">
            <v>-209.51997689999999</v>
          </cell>
          <cell r="BH75">
            <v>-1.4073423994790084</v>
          </cell>
          <cell r="BI75">
            <v>-9.8959989212463881</v>
          </cell>
          <cell r="BJ75">
            <v>-23.10565577415408</v>
          </cell>
          <cell r="BK75">
            <v>-24.222560707448849</v>
          </cell>
          <cell r="BL75">
            <v>-51.196928218225978</v>
          </cell>
          <cell r="BM75">
            <v>-74.756614488748511</v>
          </cell>
          <cell r="BN75">
            <v>-174.53966621877979</v>
          </cell>
          <cell r="BO75">
            <v>-241.86718736548221</v>
          </cell>
          <cell r="BP75">
            <v>-275.24022603943291</v>
          </cell>
          <cell r="BQ75">
            <v>-39.365009000520992</v>
          </cell>
          <cell r="BR75">
            <v>-41.607338478753611</v>
          </cell>
          <cell r="BS75">
            <v>-33.821700625845921</v>
          </cell>
          <cell r="BT75">
            <v>-47.556498592551151</v>
          </cell>
          <cell r="BU75">
            <v>-33.860276681774018</v>
          </cell>
          <cell r="BV75">
            <v>-50.877990411251474</v>
          </cell>
          <cell r="BW75">
            <v>28.059689318779789</v>
          </cell>
          <cell r="BX75">
            <v>63.867210465482231</v>
          </cell>
          <cell r="BY75">
            <v>65.720249139432923</v>
          </cell>
          <cell r="BZ75">
            <v>-5.0979999999999999</v>
          </cell>
          <cell r="CA75">
            <v>-1.7290000000000001</v>
          </cell>
          <cell r="CB75">
            <v>-32.038000000000004</v>
          </cell>
          <cell r="CC75">
            <v>-51.503337399999999</v>
          </cell>
          <cell r="CD75">
            <v>-38.865000000000002</v>
          </cell>
          <cell r="CE75">
            <v>-12.638337399999998</v>
          </cell>
          <cell r="CF75">
            <v>32.518557571079377</v>
          </cell>
        </row>
        <row r="76">
          <cell r="G76" t="str">
            <v>Subsidio Tarifas Eléctricas</v>
          </cell>
          <cell r="L76">
            <v>-97.1</v>
          </cell>
          <cell r="N76">
            <v>-97.1</v>
          </cell>
          <cell r="O76">
            <v>0</v>
          </cell>
          <cell r="P76">
            <v>0</v>
          </cell>
          <cell r="Q76">
            <v>0</v>
          </cell>
          <cell r="R76">
            <v>0</v>
          </cell>
          <cell r="S76">
            <v>0</v>
          </cell>
          <cell r="T76">
            <v>0</v>
          </cell>
          <cell r="U76">
            <v>-27</v>
          </cell>
          <cell r="V76">
            <v>-10.054</v>
          </cell>
          <cell r="W76">
            <v>-27</v>
          </cell>
          <cell r="X76">
            <v>-27</v>
          </cell>
          <cell r="Y76">
            <v>-6</v>
          </cell>
          <cell r="Z76">
            <v>0</v>
          </cell>
          <cell r="AA76">
            <v>-97.054000000000002</v>
          </cell>
          <cell r="AB76">
            <v>-9.0228323655780332E-2</v>
          </cell>
          <cell r="AC76" t="str">
            <v xml:space="preserve"> </v>
          </cell>
          <cell r="AD76">
            <v>-9.0228323655780332E-2</v>
          </cell>
          <cell r="AE76">
            <v>0</v>
          </cell>
          <cell r="AF76">
            <v>-1.398905882451426</v>
          </cell>
          <cell r="AG76">
            <v>-8.3462902969269273</v>
          </cell>
          <cell r="AH76">
            <v>-0.29018558979381703</v>
          </cell>
          <cell r="AI76">
            <v>-0.1804515432331299</v>
          </cell>
          <cell r="AJ76">
            <v>-26.186607733326635</v>
          </cell>
          <cell r="AK76">
            <v>-7.3156031040458071E-3</v>
          </cell>
          <cell r="AL76">
            <v>-26.010220414040198</v>
          </cell>
          <cell r="AM76">
            <v>-34.680022937123816</v>
          </cell>
          <cell r="AN76">
            <v>0</v>
          </cell>
          <cell r="AO76">
            <v>0</v>
          </cell>
          <cell r="AP76">
            <v>0</v>
          </cell>
          <cell r="AQ76">
            <v>1.398905882451426</v>
          </cell>
          <cell r="AR76">
            <v>8.3462902969269273</v>
          </cell>
          <cell r="AS76">
            <v>0.29018558979381703</v>
          </cell>
          <cell r="AT76">
            <v>0.1804515432331299</v>
          </cell>
          <cell r="AU76">
            <v>26.186607733326635</v>
          </cell>
          <cell r="AV76">
            <v>-26.992684396895953</v>
          </cell>
          <cell r="AW76">
            <v>15.956220414040198</v>
          </cell>
          <cell r="AX76">
            <v>7.680022937123816</v>
          </cell>
          <cell r="AY76">
            <v>0</v>
          </cell>
          <cell r="AZ76">
            <v>0</v>
          </cell>
          <cell r="BA76">
            <v>0</v>
          </cell>
          <cell r="BB76">
            <v>0</v>
          </cell>
          <cell r="BC76">
            <v>0</v>
          </cell>
          <cell r="BD76">
            <v>-27</v>
          </cell>
          <cell r="BE76">
            <v>-37.054000000000002</v>
          </cell>
          <cell r="BF76">
            <v>-64.054000000000002</v>
          </cell>
          <cell r="BG76">
            <v>-91.054000000000002</v>
          </cell>
          <cell r="BH76">
            <v>-1.398905882451426</v>
          </cell>
          <cell r="BI76">
            <v>-9.7451961793783539</v>
          </cell>
          <cell r="BJ76">
            <v>-10.035381769172171</v>
          </cell>
          <cell r="BK76">
            <v>-10.2158333124053</v>
          </cell>
          <cell r="BL76">
            <v>-36.402441045731933</v>
          </cell>
          <cell r="BM76">
            <v>-36.40975664883598</v>
          </cell>
          <cell r="BN76">
            <v>-62.419977062876178</v>
          </cell>
          <cell r="BO76">
            <v>-97.1</v>
          </cell>
          <cell r="BP76">
            <v>-97.1</v>
          </cell>
          <cell r="BQ76">
            <v>1.398905882451426</v>
          </cell>
          <cell r="BR76">
            <v>9.7451961793783539</v>
          </cell>
          <cell r="BS76">
            <v>10.035381769172171</v>
          </cell>
          <cell r="BT76">
            <v>10.2158333124053</v>
          </cell>
          <cell r="BU76">
            <v>36.402441045731933</v>
          </cell>
          <cell r="BV76">
            <v>9.4097566488359803</v>
          </cell>
          <cell r="BW76">
            <v>25.365977062876176</v>
          </cell>
          <cell r="BX76">
            <v>33.045999999999992</v>
          </cell>
          <cell r="BY76">
            <v>6.0459999999999923</v>
          </cell>
          <cell r="BZ76">
            <v>0</v>
          </cell>
          <cell r="CA76">
            <v>-1.7210000000000001</v>
          </cell>
          <cell r="CB76">
            <v>-10.268000000000001</v>
          </cell>
          <cell r="CC76">
            <v>0</v>
          </cell>
          <cell r="CD76">
            <v>-11.989000000000001</v>
          </cell>
          <cell r="CE76">
            <v>11.989000000000001</v>
          </cell>
          <cell r="CF76">
            <v>-100</v>
          </cell>
        </row>
        <row r="77">
          <cell r="G77" t="str">
            <v>Fosga</v>
          </cell>
          <cell r="L77">
            <v>0</v>
          </cell>
          <cell r="N77">
            <v>0</v>
          </cell>
          <cell r="O77">
            <v>0</v>
          </cell>
          <cell r="P77">
            <v>-12.5</v>
          </cell>
          <cell r="Q77">
            <v>-3.8</v>
          </cell>
          <cell r="R77">
            <v>-4.87</v>
          </cell>
          <cell r="S77">
            <v>-5.7</v>
          </cell>
          <cell r="T77">
            <v>-7.2160000000000002</v>
          </cell>
          <cell r="U77">
            <v>-4.5199999999999996</v>
          </cell>
          <cell r="V77">
            <v>-3</v>
          </cell>
          <cell r="W77">
            <v>-4.5199999999999996</v>
          </cell>
          <cell r="X77">
            <v>-4.5199999999999996</v>
          </cell>
          <cell r="Y77">
            <v>-9.52</v>
          </cell>
          <cell r="Z77">
            <v>-10.82</v>
          </cell>
          <cell r="AA77">
            <v>-70.98599999999999</v>
          </cell>
          <cell r="AB77" t="str">
            <v xml:space="preserve"> </v>
          </cell>
          <cell r="AC77" t="str">
            <v xml:space="preserve"> </v>
          </cell>
          <cell r="AD77" t="str">
            <v xml:space="preserve"> </v>
          </cell>
          <cell r="AE77">
            <v>0</v>
          </cell>
          <cell r="AF77">
            <v>0</v>
          </cell>
          <cell r="AG77">
            <v>0</v>
          </cell>
          <cell r="AH77">
            <v>0</v>
          </cell>
          <cell r="AI77">
            <v>0</v>
          </cell>
          <cell r="AJ77">
            <v>0</v>
          </cell>
          <cell r="AK77">
            <v>0</v>
          </cell>
          <cell r="AL77">
            <v>0</v>
          </cell>
          <cell r="AM77">
            <v>0</v>
          </cell>
          <cell r="AN77">
            <v>0</v>
          </cell>
          <cell r="AO77">
            <v>0</v>
          </cell>
          <cell r="AP77">
            <v>0</v>
          </cell>
          <cell r="AQ77">
            <v>-12.5</v>
          </cell>
          <cell r="AR77">
            <v>-3.8</v>
          </cell>
          <cell r="AS77">
            <v>-4.87</v>
          </cell>
          <cell r="AT77">
            <v>-5.7</v>
          </cell>
          <cell r="AU77">
            <v>-7.2160000000000002</v>
          </cell>
          <cell r="AV77">
            <v>-4.5199999999999996</v>
          </cell>
          <cell r="AW77">
            <v>-3</v>
          </cell>
          <cell r="AX77">
            <v>-4.5199999999999996</v>
          </cell>
          <cell r="AY77">
            <v>-12.5</v>
          </cell>
          <cell r="AZ77">
            <v>-16.3</v>
          </cell>
          <cell r="BA77">
            <v>-21.17</v>
          </cell>
          <cell r="BB77">
            <v>-26.87</v>
          </cell>
          <cell r="BC77">
            <v>-34.085999999999999</v>
          </cell>
          <cell r="BD77">
            <v>-38.605999999999995</v>
          </cell>
          <cell r="BE77">
            <v>-41.605999999999995</v>
          </cell>
          <cell r="BF77">
            <v>-46.125999999999991</v>
          </cell>
          <cell r="BG77">
            <v>-50.645999999999987</v>
          </cell>
          <cell r="BH77">
            <v>0</v>
          </cell>
          <cell r="BI77">
            <v>0</v>
          </cell>
          <cell r="BJ77">
            <v>0</v>
          </cell>
          <cell r="BK77">
            <v>0</v>
          </cell>
          <cell r="BL77">
            <v>0</v>
          </cell>
          <cell r="BM77">
            <v>0</v>
          </cell>
          <cell r="BN77">
            <v>0</v>
          </cell>
          <cell r="BO77">
            <v>0</v>
          </cell>
          <cell r="BP77">
            <v>0</v>
          </cell>
          <cell r="BQ77">
            <v>-12.5</v>
          </cell>
          <cell r="BR77">
            <v>-16.3</v>
          </cell>
          <cell r="BS77">
            <v>-21.17</v>
          </cell>
          <cell r="BT77">
            <v>-26.87</v>
          </cell>
          <cell r="BU77">
            <v>-34.085999999999999</v>
          </cell>
          <cell r="BV77">
            <v>-38.605999999999995</v>
          </cell>
          <cell r="BW77">
            <v>-41.605999999999995</v>
          </cell>
          <cell r="BX77">
            <v>-46.125999999999991</v>
          </cell>
          <cell r="BY77">
            <v>-50.645999999999987</v>
          </cell>
          <cell r="BZ77">
            <v>0</v>
          </cell>
          <cell r="CA77">
            <v>0</v>
          </cell>
          <cell r="CB77">
            <v>-20.8</v>
          </cell>
          <cell r="CC77">
            <v>-16.3</v>
          </cell>
          <cell r="CD77">
            <v>-20.8</v>
          </cell>
          <cell r="CE77">
            <v>4.5</v>
          </cell>
          <cell r="CF77">
            <v>21.634615384615383</v>
          </cell>
        </row>
        <row r="78">
          <cell r="G78" t="str">
            <v>Ancianos Indigentes</v>
          </cell>
          <cell r="L78">
            <v>-29</v>
          </cell>
          <cell r="N78">
            <v>-29</v>
          </cell>
          <cell r="O78">
            <v>-1.8348734</v>
          </cell>
          <cell r="P78">
            <v>-5.9269780000000001</v>
          </cell>
          <cell r="Q78">
            <v>-2.8377759999999999</v>
          </cell>
          <cell r="R78">
            <v>-0.37401899999999999</v>
          </cell>
          <cell r="S78">
            <v>-4.4152029000000006</v>
          </cell>
          <cell r="T78">
            <v>-1.4326456000000001</v>
          </cell>
          <cell r="U78">
            <v>-0.22790000000000002</v>
          </cell>
          <cell r="V78">
            <v>-7.6561999999999991E-2</v>
          </cell>
          <cell r="W78">
            <v>0</v>
          </cell>
          <cell r="X78">
            <v>0</v>
          </cell>
          <cell r="Y78">
            <v>0</v>
          </cell>
          <cell r="Z78">
            <v>0</v>
          </cell>
          <cell r="AA78">
            <v>-17.125956900000002</v>
          </cell>
          <cell r="AB78">
            <v>-2.6947697075361789E-2</v>
          </cell>
          <cell r="AC78" t="str">
            <v xml:space="preserve"> </v>
          </cell>
          <cell r="AD78">
            <v>-2.6947697075361789E-2</v>
          </cell>
          <cell r="AE78">
            <v>0</v>
          </cell>
          <cell r="AF78">
            <v>-8.4365170275823194E-3</v>
          </cell>
          <cell r="AG78">
            <v>-0.14236622484045164</v>
          </cell>
          <cell r="AH78">
            <v>-12.919471263113875</v>
          </cell>
          <cell r="AI78">
            <v>-0.93645339006163753</v>
          </cell>
          <cell r="AJ78">
            <v>-0.78775977745049908</v>
          </cell>
          <cell r="AK78">
            <v>-0.33851524573174058</v>
          </cell>
          <cell r="AL78">
            <v>-1.6440662557501047</v>
          </cell>
          <cell r="AM78">
            <v>-1.4331533300605466</v>
          </cell>
          <cell r="AN78">
            <v>-2.1586937944326263</v>
          </cell>
          <cell r="AO78">
            <v>-4.3158057419225804</v>
          </cell>
          <cell r="AP78">
            <v>-1.8348734</v>
          </cell>
          <cell r="AQ78">
            <v>-5.9185414829724179</v>
          </cell>
          <cell r="AR78">
            <v>-2.6954097751595483</v>
          </cell>
          <cell r="AS78">
            <v>12.545452263113875</v>
          </cell>
          <cell r="AT78">
            <v>-3.4787495099383632</v>
          </cell>
          <cell r="AU78">
            <v>-0.644885822549501</v>
          </cell>
          <cell r="AV78">
            <v>0.11061524573174056</v>
          </cell>
          <cell r="AW78">
            <v>1.5675042557501047</v>
          </cell>
          <cell r="AX78">
            <v>1.4331533300605466</v>
          </cell>
          <cell r="AY78">
            <v>-7.7618514000000003</v>
          </cell>
          <cell r="AZ78">
            <v>-10.599627399999999</v>
          </cell>
          <cell r="BA78">
            <v>-10.9736464</v>
          </cell>
          <cell r="BB78">
            <v>-15.3888493</v>
          </cell>
          <cell r="BC78">
            <v>-16.821494900000001</v>
          </cell>
          <cell r="BD78">
            <v>-17.049394900000003</v>
          </cell>
          <cell r="BE78">
            <v>-17.125956900000002</v>
          </cell>
          <cell r="BF78">
            <v>-17.125956900000002</v>
          </cell>
          <cell r="BG78">
            <v>-17.125956900000002</v>
          </cell>
          <cell r="BH78">
            <v>-8.4365170275823194E-3</v>
          </cell>
          <cell r="BI78">
            <v>-0.15080274186803397</v>
          </cell>
          <cell r="BJ78">
            <v>-13.070274004981909</v>
          </cell>
          <cell r="BK78">
            <v>-14.006727395043548</v>
          </cell>
          <cell r="BL78">
            <v>-14.794487172494048</v>
          </cell>
          <cell r="BM78">
            <v>-15.133002418225788</v>
          </cell>
          <cell r="BN78">
            <v>-16.777068673975894</v>
          </cell>
          <cell r="BO78">
            <v>-18.210222004036439</v>
          </cell>
          <cell r="BP78">
            <v>-20.368915798469065</v>
          </cell>
          <cell r="BQ78">
            <v>-7.7534148829724181</v>
          </cell>
          <cell r="BR78">
            <v>-10.448824658131965</v>
          </cell>
          <cell r="BS78">
            <v>2.0966276049819097</v>
          </cell>
          <cell r="BT78">
            <v>-1.3821219049564526</v>
          </cell>
          <cell r="BU78">
            <v>-2.0270077275059535</v>
          </cell>
          <cell r="BV78">
            <v>-1.9163924817742153</v>
          </cell>
          <cell r="BW78">
            <v>-0.34888822602410841</v>
          </cell>
          <cell r="BX78">
            <v>1.0842651040364366</v>
          </cell>
          <cell r="BY78">
            <v>3.2429588984690625</v>
          </cell>
          <cell r="BZ78">
            <v>0</v>
          </cell>
          <cell r="CA78">
            <v>-8.0000000000000002E-3</v>
          </cell>
          <cell r="CB78">
            <v>-0.13500000000000001</v>
          </cell>
          <cell r="CC78">
            <v>-10.599627399999999</v>
          </cell>
          <cell r="CD78">
            <v>-0.14300000000000002</v>
          </cell>
          <cell r="CE78">
            <v>-10.456627399999999</v>
          </cell>
          <cell r="CF78">
            <v>40.063566076461399</v>
          </cell>
        </row>
        <row r="79">
          <cell r="G79" t="str">
            <v>Fondo Solidaridad Pensional</v>
          </cell>
          <cell r="L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t="str">
            <v xml:space="preserve"> </v>
          </cell>
          <cell r="AC79" t="str">
            <v xml:space="preserve"> </v>
          </cell>
          <cell r="AD79" t="str">
            <v xml:space="preserve"> </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-5.0979999999999999</v>
          </cell>
          <cell r="CA79">
            <v>0</v>
          </cell>
          <cell r="CB79">
            <v>-0.83499999999999996</v>
          </cell>
          <cell r="CC79">
            <v>0</v>
          </cell>
          <cell r="CD79">
            <v>-5.9329999999999998</v>
          </cell>
          <cell r="CE79">
            <v>5.9329999999999998</v>
          </cell>
          <cell r="CF79">
            <v>100</v>
          </cell>
        </row>
        <row r="80">
          <cell r="G80" t="str">
            <v>Fondo Compensación Educativa</v>
          </cell>
          <cell r="L80">
            <v>-220.2</v>
          </cell>
          <cell r="N80">
            <v>-220.2</v>
          </cell>
          <cell r="O80">
            <v>-9.2852999999999994</v>
          </cell>
          <cell r="P80">
            <v>-11.225200000000001</v>
          </cell>
          <cell r="Q80">
            <v>-4.09321</v>
          </cell>
          <cell r="R80">
            <v>-0.18</v>
          </cell>
          <cell r="S80">
            <v>-4.7365000000000004</v>
          </cell>
          <cell r="T80">
            <v>-4.6295000000000002</v>
          </cell>
          <cell r="U80">
            <v>-8.8294999999999995</v>
          </cell>
          <cell r="V80">
            <v>-7.7148100000000008</v>
          </cell>
          <cell r="W80">
            <v>0</v>
          </cell>
          <cell r="X80">
            <v>0</v>
          </cell>
          <cell r="Y80">
            <v>0</v>
          </cell>
          <cell r="Z80">
            <v>0</v>
          </cell>
          <cell r="AA80">
            <v>-50.694019999999995</v>
          </cell>
          <cell r="AB80">
            <v>-0.20461665158602299</v>
          </cell>
          <cell r="AC80" t="str">
            <v xml:space="preserve"> </v>
          </cell>
          <cell r="AD80">
            <v>-0.20461665158602299</v>
          </cell>
          <cell r="AE80">
            <v>0</v>
          </cell>
          <cell r="AF80">
            <v>0</v>
          </cell>
          <cell r="AG80">
            <v>0</v>
          </cell>
          <cell r="AH80">
            <v>0</v>
          </cell>
          <cell r="AI80">
            <v>0</v>
          </cell>
          <cell r="AJ80">
            <v>0</v>
          </cell>
          <cell r="AK80">
            <v>-23.213855421686748</v>
          </cell>
          <cell r="AL80">
            <v>-72.128765060240966</v>
          </cell>
          <cell r="AM80">
            <v>-31.214344879518066</v>
          </cell>
          <cell r="AN80">
            <v>-31.214344879518066</v>
          </cell>
          <cell r="AO80">
            <v>-31.214344879518066</v>
          </cell>
          <cell r="AP80">
            <v>-9.2852999999999994</v>
          </cell>
          <cell r="AQ80">
            <v>-11.225200000000001</v>
          </cell>
          <cell r="AR80">
            <v>-4.09321</v>
          </cell>
          <cell r="AS80">
            <v>-0.18</v>
          </cell>
          <cell r="AT80">
            <v>-4.7365000000000004</v>
          </cell>
          <cell r="AU80">
            <v>-4.6295000000000002</v>
          </cell>
          <cell r="AV80">
            <v>14.384355421686749</v>
          </cell>
          <cell r="AW80">
            <v>64.413955060240966</v>
          </cell>
          <cell r="AX80">
            <v>31.214344879518066</v>
          </cell>
          <cell r="AY80">
            <v>-20.5105</v>
          </cell>
          <cell r="AZ80">
            <v>-24.60371</v>
          </cell>
          <cell r="BA80">
            <v>-24.783709999999999</v>
          </cell>
          <cell r="BB80">
            <v>-29.520209999999999</v>
          </cell>
          <cell r="BC80">
            <v>-34.149709999999999</v>
          </cell>
          <cell r="BD80">
            <v>-42.979209999999995</v>
          </cell>
          <cell r="BE80">
            <v>-50.694019999999995</v>
          </cell>
          <cell r="BF80">
            <v>-50.694019999999995</v>
          </cell>
          <cell r="BG80">
            <v>-50.694019999999995</v>
          </cell>
          <cell r="BH80">
            <v>0</v>
          </cell>
          <cell r="BI80">
            <v>0</v>
          </cell>
          <cell r="BJ80">
            <v>0</v>
          </cell>
          <cell r="BK80">
            <v>0</v>
          </cell>
          <cell r="BL80">
            <v>0</v>
          </cell>
          <cell r="BM80">
            <v>-23.213855421686748</v>
          </cell>
          <cell r="BN80">
            <v>-95.34262048192771</v>
          </cell>
          <cell r="BO80">
            <v>-126.55696536144578</v>
          </cell>
          <cell r="BP80">
            <v>-157.77131024096383</v>
          </cell>
          <cell r="BQ80">
            <v>-20.5105</v>
          </cell>
          <cell r="BR80">
            <v>-24.60371</v>
          </cell>
          <cell r="BS80">
            <v>-24.783709999999999</v>
          </cell>
          <cell r="BT80">
            <v>-29.520209999999999</v>
          </cell>
          <cell r="BU80">
            <v>-34.149709999999999</v>
          </cell>
          <cell r="BV80">
            <v>-19.765354578313246</v>
          </cell>
          <cell r="BW80">
            <v>44.648600481927716</v>
          </cell>
          <cell r="BX80">
            <v>75.862945361445782</v>
          </cell>
          <cell r="BY80">
            <v>107.07729024096383</v>
          </cell>
          <cell r="BZ80">
            <v>0</v>
          </cell>
          <cell r="CA80">
            <v>0</v>
          </cell>
          <cell r="CB80">
            <v>0</v>
          </cell>
          <cell r="CC80">
            <v>-24.60371</v>
          </cell>
          <cell r="CD80">
            <v>0</v>
          </cell>
          <cell r="CE80">
            <v>-24.60371</v>
          </cell>
          <cell r="CF80" t="str">
            <v xml:space="preserve">n.a. </v>
          </cell>
        </row>
        <row r="81">
          <cell r="F81" t="str">
            <v>Menos Gastos Generales Equipo Militar CSF</v>
          </cell>
          <cell r="L81">
            <v>-345.9</v>
          </cell>
          <cell r="N81">
            <v>-345.9</v>
          </cell>
          <cell r="O81">
            <v>-1.4947000000000001</v>
          </cell>
          <cell r="P81">
            <v>-7.1885000000000003</v>
          </cell>
          <cell r="Q81">
            <v>-5.5836000000000006</v>
          </cell>
          <cell r="R81">
            <v>-9.1050000000000004</v>
          </cell>
          <cell r="S81">
            <v>-9.4905000000000008</v>
          </cell>
          <cell r="T81">
            <v>-10.8744</v>
          </cell>
          <cell r="U81">
            <v>-5.8631000000000002</v>
          </cell>
          <cell r="V81">
            <v>-28.824999999999999</v>
          </cell>
          <cell r="W81">
            <v>-28.824999999999999</v>
          </cell>
          <cell r="X81">
            <v>-28.824999999999999</v>
          </cell>
          <cell r="Y81">
            <v>-28.824999999999999</v>
          </cell>
          <cell r="Z81">
            <v>-28.824999999999999</v>
          </cell>
          <cell r="AA81">
            <v>-193.72479999999999</v>
          </cell>
          <cell r="AB81">
            <v>-0.32142097994371183</v>
          </cell>
          <cell r="AC81" t="str">
            <v xml:space="preserve"> </v>
          </cell>
          <cell r="AD81">
            <v>-0.32142097994371183</v>
          </cell>
          <cell r="AE81">
            <v>-0.38659411764705881</v>
          </cell>
          <cell r="AF81">
            <v>-29.059669411764705</v>
          </cell>
          <cell r="AG81">
            <v>-6.7430152941176473</v>
          </cell>
          <cell r="AH81">
            <v>-6.4093235294117639</v>
          </cell>
          <cell r="AI81">
            <v>-12.415775294117648</v>
          </cell>
          <cell r="AJ81">
            <v>-22.467222352941175</v>
          </cell>
          <cell r="AK81">
            <v>-29.995634117647054</v>
          </cell>
          <cell r="AL81">
            <v>-14.698715294117646</v>
          </cell>
          <cell r="AM81">
            <v>-28.823643529411765</v>
          </cell>
          <cell r="AN81">
            <v>-28.823643529411765</v>
          </cell>
          <cell r="AO81">
            <v>-83.038381764705875</v>
          </cell>
          <cell r="AP81">
            <v>-1.1081058823529413</v>
          </cell>
          <cell r="AQ81">
            <v>21.871169411764704</v>
          </cell>
          <cell r="AR81">
            <v>1.1594152941176468</v>
          </cell>
          <cell r="AS81">
            <v>-2.6956764705882366</v>
          </cell>
          <cell r="AT81">
            <v>2.9252752941176468</v>
          </cell>
          <cell r="AU81">
            <v>11.592822352941175</v>
          </cell>
          <cell r="AV81">
            <v>24.132534117647054</v>
          </cell>
          <cell r="AW81">
            <v>-14.126284705882354</v>
          </cell>
          <cell r="AX81">
            <v>-1.3564705882345152E-3</v>
          </cell>
          <cell r="AY81">
            <v>-8.6832000000000011</v>
          </cell>
          <cell r="AZ81">
            <v>-14.266800000000002</v>
          </cell>
          <cell r="BA81">
            <v>-23.3718</v>
          </cell>
          <cell r="BB81">
            <v>-32.862300000000005</v>
          </cell>
          <cell r="BC81">
            <v>-43.736700000000006</v>
          </cell>
          <cell r="BD81">
            <v>-49.599800000000009</v>
          </cell>
          <cell r="BE81">
            <v>-78.424800000000005</v>
          </cell>
          <cell r="BF81">
            <v>-107.24980000000001</v>
          </cell>
          <cell r="BG81">
            <v>-136.07480000000001</v>
          </cell>
          <cell r="BH81">
            <v>-29.446263529411763</v>
          </cell>
          <cell r="BI81">
            <v>-36.189278823529406</v>
          </cell>
          <cell r="BJ81">
            <v>-42.598602352941171</v>
          </cell>
          <cell r="BK81">
            <v>-55.014377647058822</v>
          </cell>
          <cell r="BL81">
            <v>-77.4816</v>
          </cell>
          <cell r="BM81">
            <v>-107.47723411764706</v>
          </cell>
          <cell r="BN81">
            <v>-122.17594941176471</v>
          </cell>
          <cell r="BO81">
            <v>-150.99959294117647</v>
          </cell>
          <cell r="BP81">
            <v>-179.82323647058823</v>
          </cell>
          <cell r="BQ81">
            <v>20.76306352941176</v>
          </cell>
          <cell r="BR81">
            <v>21.922478823529403</v>
          </cell>
          <cell r="BS81">
            <v>19.226802352941171</v>
          </cell>
          <cell r="BT81">
            <v>22.152077647058817</v>
          </cell>
          <cell r="BU81">
            <v>33.744899999999994</v>
          </cell>
          <cell r="BV81">
            <v>57.877434117647049</v>
          </cell>
          <cell r="BW81">
            <v>43.7511494117647</v>
          </cell>
          <cell r="BX81">
            <v>43.749792941176466</v>
          </cell>
          <cell r="BY81">
            <v>43.748436470588217</v>
          </cell>
          <cell r="BZ81">
            <v>-9.5000000000000001E-2</v>
          </cell>
          <cell r="CA81">
            <v>-7.141</v>
          </cell>
          <cell r="CB81">
            <v>-1.657</v>
          </cell>
          <cell r="CC81">
            <v>-14.266800000000002</v>
          </cell>
          <cell r="CD81">
            <v>-8.8930000000000007</v>
          </cell>
          <cell r="CE81">
            <v>-5.373800000000001</v>
          </cell>
          <cell r="CF81">
            <v>60.427302372652662</v>
          </cell>
        </row>
        <row r="82">
          <cell r="F82" t="str">
            <v>Menos Préstamos Presupuestales CSF</v>
          </cell>
          <cell r="L82">
            <v>-92.8</v>
          </cell>
          <cell r="N82">
            <v>-92.8</v>
          </cell>
          <cell r="O82">
            <v>-13.231018806666667</v>
          </cell>
          <cell r="P82">
            <v>-15.8618564625</v>
          </cell>
          <cell r="Q82">
            <v>-25.896025455555556</v>
          </cell>
          <cell r="R82">
            <v>-8.0864389490909101</v>
          </cell>
          <cell r="S82">
            <v>-6.8884119520000011</v>
          </cell>
          <cell r="T82">
            <v>-6.3869984605555548</v>
          </cell>
          <cell r="U82">
            <v>-4.7136275499999991</v>
          </cell>
          <cell r="V82">
            <v>-2.4741502866666671</v>
          </cell>
          <cell r="W82">
            <v>-3.0862021066666667</v>
          </cell>
          <cell r="X82">
            <v>-5.2764389490909096</v>
          </cell>
          <cell r="Y82">
            <v>1.8040880479999979</v>
          </cell>
          <cell r="Z82">
            <v>2.3055015394444442</v>
          </cell>
          <cell r="AA82">
            <v>-87.791579391348506</v>
          </cell>
          <cell r="AB82">
            <v>-8.6232630641157729E-2</v>
          </cell>
          <cell r="AC82" t="str">
            <v xml:space="preserve"> </v>
          </cell>
          <cell r="AD82">
            <v>-8.6232630641157729E-2</v>
          </cell>
          <cell r="AE82">
            <v>-12.74</v>
          </cell>
          <cell r="AF82">
            <v>-1.456</v>
          </cell>
          <cell r="AG82">
            <v>-23.63</v>
          </cell>
          <cell r="AH82">
            <v>-2.81</v>
          </cell>
          <cell r="AI82">
            <v>-8.692499999999999</v>
          </cell>
          <cell r="AJ82">
            <v>-8.692499999999999</v>
          </cell>
          <cell r="AK82">
            <v>-8.692499999999999</v>
          </cell>
          <cell r="AL82">
            <v>-8.692499999999999</v>
          </cell>
          <cell r="AM82">
            <v>-8.692499999999999</v>
          </cell>
          <cell r="AN82">
            <v>-8.692499999999999</v>
          </cell>
          <cell r="AO82">
            <v>-8.692499999999999</v>
          </cell>
          <cell r="AP82">
            <v>-0.49101880666666631</v>
          </cell>
          <cell r="AQ82">
            <v>-14.405856462500001</v>
          </cell>
          <cell r="AR82">
            <v>-2.2660254555555568</v>
          </cell>
          <cell r="AS82">
            <v>-5.2764389490909096</v>
          </cell>
          <cell r="AT82">
            <v>1.8040880479999979</v>
          </cell>
          <cell r="AU82">
            <v>2.3055015394444442</v>
          </cell>
          <cell r="AV82">
            <v>3.9788724499999999</v>
          </cell>
          <cell r="AW82">
            <v>6.2183497133333319</v>
          </cell>
          <cell r="AX82">
            <v>5.6062978933333323</v>
          </cell>
          <cell r="AY82">
            <v>-29.092875269166669</v>
          </cell>
          <cell r="AZ82">
            <v>-54.988900724722228</v>
          </cell>
          <cell r="BA82">
            <v>-63.07533967381314</v>
          </cell>
          <cell r="BB82">
            <v>-69.963751625813146</v>
          </cell>
          <cell r="BC82">
            <v>-76.350750086368706</v>
          </cell>
          <cell r="BD82">
            <v>-81.064377636368704</v>
          </cell>
          <cell r="BE82">
            <v>-83.538527923035375</v>
          </cell>
          <cell r="BF82">
            <v>-86.624730029702036</v>
          </cell>
          <cell r="BG82">
            <v>-91.901168978792953</v>
          </cell>
          <cell r="BH82">
            <v>-14.196</v>
          </cell>
          <cell r="BI82">
            <v>-37.826000000000001</v>
          </cell>
          <cell r="BJ82">
            <v>-40.636000000000003</v>
          </cell>
          <cell r="BK82">
            <v>-49.328500000000005</v>
          </cell>
          <cell r="BL82">
            <v>-58.021000000000001</v>
          </cell>
          <cell r="BM82">
            <v>-66.713499999999996</v>
          </cell>
          <cell r="BN82">
            <v>-75.405999999999992</v>
          </cell>
          <cell r="BO82">
            <v>-84.098499999999987</v>
          </cell>
          <cell r="BP82">
            <v>-92.790999999999983</v>
          </cell>
          <cell r="BQ82">
            <v>-14.896875269166669</v>
          </cell>
          <cell r="BR82">
            <v>-17.162900724722228</v>
          </cell>
          <cell r="BS82">
            <v>-22.439339673813137</v>
          </cell>
          <cell r="BT82">
            <v>-20.63525162581314</v>
          </cell>
          <cell r="BU82">
            <v>-18.329750086368705</v>
          </cell>
          <cell r="BV82">
            <v>-14.350877636368708</v>
          </cell>
          <cell r="BW82">
            <v>-8.1325279230353829</v>
          </cell>
          <cell r="BX82">
            <v>-2.5262300297020488</v>
          </cell>
          <cell r="BY82">
            <v>0.88983102120702995</v>
          </cell>
          <cell r="BZ82">
            <v>0</v>
          </cell>
          <cell r="CA82">
            <v>0</v>
          </cell>
          <cell r="CB82">
            <v>-13.54111</v>
          </cell>
          <cell r="CC82">
            <v>-54.988900724722228</v>
          </cell>
          <cell r="CD82">
            <v>-13.54111</v>
          </cell>
          <cell r="CE82">
            <v>-41.447790724722225</v>
          </cell>
          <cell r="CF82">
            <v>-306.08857563908884</v>
          </cell>
        </row>
        <row r="83">
          <cell r="AX83">
            <v>0</v>
          </cell>
          <cell r="BN83">
            <v>0</v>
          </cell>
          <cell r="BO83">
            <v>0</v>
          </cell>
        </row>
        <row r="84">
          <cell r="L84" t="e">
            <v>#REF!</v>
          </cell>
          <cell r="M84" t="e">
            <v>#REF!</v>
          </cell>
          <cell r="N84" t="e">
            <v>#REF!</v>
          </cell>
          <cell r="Q84">
            <v>1967.561798502649</v>
          </cell>
          <cell r="R84">
            <v>1601.3593586210206</v>
          </cell>
          <cell r="S84">
            <v>1700.632725426872</v>
          </cell>
          <cell r="T84">
            <v>1417.4514927429736</v>
          </cell>
          <cell r="U84">
            <v>1843.8241934066289</v>
          </cell>
          <cell r="V84">
            <v>1413.4552901216946</v>
          </cell>
          <cell r="W84">
            <v>1993.6851469276467</v>
          </cell>
          <cell r="X84">
            <v>1442.8363761355058</v>
          </cell>
          <cell r="Y84">
            <v>1619.0656806351003</v>
          </cell>
          <cell r="Z84">
            <v>2116.219692815831</v>
          </cell>
          <cell r="AA84">
            <v>19767.110563321941</v>
          </cell>
          <cell r="AB84" t="e">
            <v>#REF!</v>
          </cell>
          <cell r="AC84" t="e">
            <v>#REF!</v>
          </cell>
          <cell r="AD84" t="e">
            <v>#REF!</v>
          </cell>
          <cell r="AE84">
            <v>1302.3073577677512</v>
          </cell>
          <cell r="AF84">
            <v>1408.2547076321514</v>
          </cell>
          <cell r="AG84">
            <v>2257.467780242016</v>
          </cell>
          <cell r="AH84">
            <v>1602.550304772906</v>
          </cell>
          <cell r="AI84">
            <v>1586.9993259246439</v>
          </cell>
          <cell r="AJ84">
            <v>1424.4919971241065</v>
          </cell>
          <cell r="AK84">
            <v>1760.1468281597852</v>
          </cell>
          <cell r="AL84">
            <v>1385.4289587072624</v>
          </cell>
          <cell r="AM84">
            <v>1871.2085221322488</v>
          </cell>
          <cell r="AN84">
            <v>1450.6000278141439</v>
          </cell>
          <cell r="AO84">
            <v>1521.9814850443481</v>
          </cell>
          <cell r="AP84">
            <v>-10.981333217537895</v>
          </cell>
          <cell r="AQ84">
            <v>-48.561924196343853</v>
          </cell>
          <cell r="AR84">
            <v>-289.90598173936701</v>
          </cell>
          <cell r="AS84">
            <v>-1.1909461518853277</v>
          </cell>
          <cell r="AT84">
            <v>113.63339950222803</v>
          </cell>
          <cell r="AU84">
            <v>-7.0405043811329051</v>
          </cell>
          <cell r="AV84">
            <v>83.677365246843692</v>
          </cell>
          <cell r="AW84">
            <v>28.026331414432207</v>
          </cell>
          <cell r="AX84">
            <v>122.47662479539781</v>
          </cell>
          <cell r="AY84">
            <v>2651.0188079860209</v>
          </cell>
          <cell r="AZ84">
            <v>4618.5806064886692</v>
          </cell>
          <cell r="BA84">
            <v>6219.939965109691</v>
          </cell>
          <cell r="BB84">
            <v>7920.5726905365627</v>
          </cell>
          <cell r="BC84">
            <v>9338.0241832795364</v>
          </cell>
          <cell r="BD84">
            <v>11181.848376686165</v>
          </cell>
          <cell r="BE84">
            <v>12595.303666807862</v>
          </cell>
          <cell r="BF84">
            <v>14588.988813735506</v>
          </cell>
          <cell r="BG84">
            <v>16031.825189871011</v>
          </cell>
          <cell r="BH84">
            <v>2710.5620653999026</v>
          </cell>
          <cell r="BI84">
            <v>4968.0298456419187</v>
          </cell>
          <cell r="BJ84">
            <v>6570.5801504148239</v>
          </cell>
          <cell r="BK84">
            <v>8157.5794763394679</v>
          </cell>
          <cell r="BL84">
            <v>9582.0714734635749</v>
          </cell>
          <cell r="BM84">
            <v>11342.218301623359</v>
          </cell>
          <cell r="BN84">
            <v>12727.647260330621</v>
          </cell>
          <cell r="BO84">
            <v>14598.85578246287</v>
          </cell>
          <cell r="BP84">
            <v>16049.455810277013</v>
          </cell>
          <cell r="BQ84">
            <v>-59.543257413881875</v>
          </cell>
          <cell r="BR84">
            <v>-349.44923915324841</v>
          </cell>
          <cell r="BS84">
            <v>-350.64018530513346</v>
          </cell>
          <cell r="BT84">
            <v>-237.00678580290509</v>
          </cell>
          <cell r="BU84">
            <v>-244.04729018403773</v>
          </cell>
          <cell r="BV84">
            <v>-160.36992493719382</v>
          </cell>
          <cell r="BW84">
            <v>-132.34359352275897</v>
          </cell>
          <cell r="BX84">
            <v>-9.8669687273632007</v>
          </cell>
          <cell r="BY84">
            <v>-17.630620406001981</v>
          </cell>
          <cell r="BZ84" t="e">
            <v>#REF!</v>
          </cell>
          <cell r="CA84" t="e">
            <v>#REF!</v>
          </cell>
          <cell r="CB84" t="e">
            <v>#REF!</v>
          </cell>
          <cell r="CC84">
            <v>4618.5806064886692</v>
          </cell>
          <cell r="CD84" t="e">
            <v>#REF!</v>
          </cell>
          <cell r="CE84" t="e">
            <v>#REF!</v>
          </cell>
          <cell r="CF84" t="e">
            <v>#REF!</v>
          </cell>
        </row>
        <row r="85">
          <cell r="AX85">
            <v>0</v>
          </cell>
          <cell r="BN85">
            <v>0</v>
          </cell>
          <cell r="BO85">
            <v>0</v>
          </cell>
        </row>
        <row r="86">
          <cell r="L86" t="e">
            <v>#REF!</v>
          </cell>
          <cell r="M86" t="e">
            <v>#REF!</v>
          </cell>
          <cell r="N86" t="e">
            <v>#REF!</v>
          </cell>
          <cell r="Q86">
            <v>-850.17366658293872</v>
          </cell>
          <cell r="R86">
            <v>-463.2790313497519</v>
          </cell>
          <cell r="S86">
            <v>-520.89383297442691</v>
          </cell>
          <cell r="T86">
            <v>-41.811942938311745</v>
          </cell>
          <cell r="U86">
            <v>-345.06989518034618</v>
          </cell>
          <cell r="V86">
            <v>102.90889335637092</v>
          </cell>
          <cell r="W86">
            <v>-701.71409300909204</v>
          </cell>
          <cell r="X86">
            <v>-62.446592757542874</v>
          </cell>
          <cell r="Y86">
            <v>-527.29736573946957</v>
          </cell>
          <cell r="Z86">
            <v>-604.64285482753371</v>
          </cell>
          <cell r="AA86">
            <v>-4598.4097227644643</v>
          </cell>
          <cell r="AB86" t="e">
            <v>#REF!</v>
          </cell>
          <cell r="AC86" t="e">
            <v>#REF!</v>
          </cell>
          <cell r="AD86" t="e">
            <v>#REF!</v>
          </cell>
          <cell r="AE86">
            <v>-575.9715073753797</v>
          </cell>
          <cell r="AF86">
            <v>29.867994310949371</v>
          </cell>
          <cell r="AG86">
            <v>-1232.8574802420158</v>
          </cell>
          <cell r="AH86">
            <v>-383.28004872268616</v>
          </cell>
          <cell r="AI86">
            <v>-561.94133538391918</v>
          </cell>
          <cell r="AJ86">
            <v>-105.97947722535088</v>
          </cell>
          <cell r="AK86">
            <v>-373.29366455117605</v>
          </cell>
          <cell r="AL86">
            <v>-21.131312750924081</v>
          </cell>
          <cell r="AM86">
            <v>-723.42863081716143</v>
          </cell>
          <cell r="AN86">
            <v>-88.807746570460097</v>
          </cell>
          <cell r="AO86">
            <v>-549.80021158341378</v>
          </cell>
          <cell r="AP86">
            <v>27.439233281733436</v>
          </cell>
          <cell r="AQ86">
            <v>-65.325060978724139</v>
          </cell>
          <cell r="AR86">
            <v>382.68381365907703</v>
          </cell>
          <cell r="AS86">
            <v>-79.998982627065743</v>
          </cell>
          <cell r="AT86">
            <v>41.047502409492267</v>
          </cell>
          <cell r="AU86">
            <v>64.167534287039132</v>
          </cell>
          <cell r="AV86">
            <v>28.223769370829871</v>
          </cell>
          <cell r="AW86">
            <v>124.04020610729501</v>
          </cell>
          <cell r="AX86">
            <v>21.714537808069394</v>
          </cell>
          <cell r="AY86">
            <v>-593.82544533404121</v>
          </cell>
          <cell r="AZ86">
            <v>-1451.9646997743494</v>
          </cell>
          <cell r="BA86">
            <v>-1918.7683232754916</v>
          </cell>
          <cell r="BB86">
            <v>-2443.2050565290774</v>
          </cell>
          <cell r="BC86">
            <v>-2489.7588236420706</v>
          </cell>
          <cell r="BD86">
            <v>-2837.5506181821083</v>
          </cell>
          <cell r="BE86">
            <v>-2737.7540274483777</v>
          </cell>
          <cell r="BF86">
            <v>-3447.886715678058</v>
          </cell>
          <cell r="BG86">
            <v>-3510.3333084355982</v>
          </cell>
          <cell r="BH86">
            <v>-604.10238217326332</v>
          </cell>
          <cell r="BI86">
            <v>-1778.9609933064462</v>
          </cell>
          <cell r="BJ86">
            <v>-2162.2410420291312</v>
          </cell>
          <cell r="BK86">
            <v>-2724.1823774130503</v>
          </cell>
          <cell r="BL86">
            <v>-2830.1618546384016</v>
          </cell>
          <cell r="BM86">
            <v>-3203.4555191895774</v>
          </cell>
          <cell r="BN86">
            <v>-3224.5868319405026</v>
          </cell>
          <cell r="BO86">
            <v>-3948.015462757664</v>
          </cell>
          <cell r="BP86">
            <v>-4036.823209328124</v>
          </cell>
          <cell r="BQ86">
            <v>10.276936839222316</v>
          </cell>
          <cell r="BR86">
            <v>326.99629353209616</v>
          </cell>
          <cell r="BS86">
            <v>243.47271875364015</v>
          </cell>
          <cell r="BT86">
            <v>280.97732088397203</v>
          </cell>
          <cell r="BU86">
            <v>340.4030309963307</v>
          </cell>
          <cell r="BV86">
            <v>365.90490100747002</v>
          </cell>
          <cell r="BW86">
            <v>486.83280449212498</v>
          </cell>
          <cell r="BX86">
            <v>500.128747079606</v>
          </cell>
          <cell r="BY86">
            <v>526.48990089252584</v>
          </cell>
          <cell r="BZ86" t="e">
            <v>#REF!</v>
          </cell>
          <cell r="CA86" t="e">
            <v>#REF!</v>
          </cell>
          <cell r="CB86" t="e">
            <v>#REF!</v>
          </cell>
          <cell r="CC86">
            <v>-1451.9646997743494</v>
          </cell>
          <cell r="CD86" t="e">
            <v>#REF!</v>
          </cell>
          <cell r="CE86" t="e">
            <v>#REF!</v>
          </cell>
          <cell r="CF86" t="e">
            <v>#REF!</v>
          </cell>
        </row>
        <row r="87">
          <cell r="AX87">
            <v>0</v>
          </cell>
          <cell r="BN87">
            <v>0</v>
          </cell>
          <cell r="BO87">
            <v>0</v>
          </cell>
          <cell r="BP87">
            <v>0</v>
          </cell>
          <cell r="BW87">
            <v>0</v>
          </cell>
          <cell r="BX87">
            <v>0</v>
          </cell>
          <cell r="BY87">
            <v>0</v>
          </cell>
        </row>
        <row r="88">
          <cell r="L88">
            <v>147.05021974965689</v>
          </cell>
          <cell r="M88">
            <v>49.7</v>
          </cell>
          <cell r="N88">
            <v>196.75021974965688</v>
          </cell>
          <cell r="Q88">
            <v>40.036821937128892</v>
          </cell>
          <cell r="R88">
            <v>25.893005499405454</v>
          </cell>
          <cell r="S88">
            <v>5.5265848677800014</v>
          </cell>
          <cell r="T88">
            <v>1.5822323980600004</v>
          </cell>
          <cell r="U88">
            <v>4.3351867676299989</v>
          </cell>
          <cell r="V88">
            <v>31.716771812076669</v>
          </cell>
          <cell r="W88">
            <v>30.122478628093333</v>
          </cell>
          <cell r="X88">
            <v>5.2764389490909096</v>
          </cell>
          <cell r="Y88">
            <v>-1.8040880479999979</v>
          </cell>
          <cell r="Z88">
            <v>-2.3055015394444442</v>
          </cell>
          <cell r="AA88">
            <v>196.03832182802412</v>
          </cell>
          <cell r="AB88">
            <v>0.13664361298893576</v>
          </cell>
          <cell r="AC88">
            <v>4.6182777401568315E-2</v>
          </cell>
          <cell r="AD88">
            <v>0.18282639039050408</v>
          </cell>
          <cell r="AE88">
            <v>14.874000000000001</v>
          </cell>
          <cell r="AF88">
            <v>35.719349956987656</v>
          </cell>
          <cell r="AG88">
            <v>45.633769106525087</v>
          </cell>
          <cell r="AH88">
            <v>29.007659191067077</v>
          </cell>
          <cell r="AI88">
            <v>13.842499999999999</v>
          </cell>
          <cell r="AJ88">
            <v>18.993415301163697</v>
          </cell>
          <cell r="AK88">
            <v>10.192499999999999</v>
          </cell>
          <cell r="AL88">
            <v>45.589560843799987</v>
          </cell>
          <cell r="AM88">
            <v>42.212007933196098</v>
          </cell>
          <cell r="AN88">
            <v>32.700250820818169</v>
          </cell>
          <cell r="AO88">
            <v>14.309659701761369</v>
          </cell>
          <cell r="AP88">
            <v>-3.6613825587766673</v>
          </cell>
          <cell r="AQ88">
            <v>8.7264231579923432</v>
          </cell>
          <cell r="AR88">
            <v>-5.596947169396195</v>
          </cell>
          <cell r="AS88">
            <v>-3.1146536916616228</v>
          </cell>
          <cell r="AT88">
            <v>-8.3159151322199989</v>
          </cell>
          <cell r="AU88">
            <v>-17.411182903103697</v>
          </cell>
          <cell r="AV88">
            <v>-5.8573132323700001</v>
          </cell>
          <cell r="AW88">
            <v>-13.872789031723318</v>
          </cell>
          <cell r="AX88">
            <v>-12.089529305102765</v>
          </cell>
          <cell r="AY88">
            <v>55.658390556203337</v>
          </cell>
          <cell r="AZ88">
            <v>95.695212493332235</v>
          </cell>
          <cell r="BA88">
            <v>121.58821799273768</v>
          </cell>
          <cell r="BB88">
            <v>127.11480286051768</v>
          </cell>
          <cell r="BC88">
            <v>128.69703525857767</v>
          </cell>
          <cell r="BD88">
            <v>133.03222202620771</v>
          </cell>
          <cell r="BE88">
            <v>164.74899383828438</v>
          </cell>
          <cell r="BF88">
            <v>194.8714724663777</v>
          </cell>
          <cell r="BG88">
            <v>200.1479114154686</v>
          </cell>
          <cell r="BH88">
            <v>50.593349956987652</v>
          </cell>
          <cell r="BI88">
            <v>96.227119063512731</v>
          </cell>
          <cell r="BJ88">
            <v>125.23477825457981</v>
          </cell>
          <cell r="BK88">
            <v>139.07727825457982</v>
          </cell>
          <cell r="BL88">
            <v>158.07069355574353</v>
          </cell>
          <cell r="BM88">
            <v>168.26319355574353</v>
          </cell>
          <cell r="BN88">
            <v>213.85275439954353</v>
          </cell>
          <cell r="BO88">
            <v>256.06476233273963</v>
          </cell>
          <cell r="BP88">
            <v>288.76501315355779</v>
          </cell>
          <cell r="BQ88">
            <v>5.0650405992156795</v>
          </cell>
          <cell r="BR88">
            <v>-0.53190657018050835</v>
          </cell>
          <cell r="BS88">
            <v>-3.6465602618421329</v>
          </cell>
          <cell r="BT88">
            <v>-11.962475394062128</v>
          </cell>
          <cell r="BU88">
            <v>-29.373658297165818</v>
          </cell>
          <cell r="BV88">
            <v>-35.230971529535815</v>
          </cell>
          <cell r="BW88">
            <v>-49.103760561259151</v>
          </cell>
          <cell r="BX88">
            <v>-61.193289866361937</v>
          </cell>
          <cell r="BY88">
            <v>-88.61710173808919</v>
          </cell>
          <cell r="BZ88">
            <v>3.3572108000000012</v>
          </cell>
          <cell r="CA88">
            <v>28.847685874</v>
          </cell>
          <cell r="CB88">
            <v>25.258643499999998</v>
          </cell>
          <cell r="CC88">
            <v>95.695212493332235</v>
          </cell>
          <cell r="CD88">
            <v>57.463540174000002</v>
          </cell>
          <cell r="CE88">
            <v>38.231672319332233</v>
          </cell>
          <cell r="CF88">
            <v>66.532051808096853</v>
          </cell>
        </row>
        <row r="89">
          <cell r="E89" t="str">
            <v xml:space="preserve">Préstamos de Inversión </v>
          </cell>
          <cell r="L89">
            <v>92.8</v>
          </cell>
          <cell r="M89">
            <v>49.7</v>
          </cell>
          <cell r="N89">
            <v>142.5</v>
          </cell>
          <cell r="O89">
            <v>13.231018806666667</v>
          </cell>
          <cell r="P89">
            <v>15.8618564625</v>
          </cell>
          <cell r="Q89">
            <v>25.896025455555556</v>
          </cell>
          <cell r="R89">
            <v>8.0864389490909101</v>
          </cell>
          <cell r="S89">
            <v>6.8884119520000011</v>
          </cell>
          <cell r="T89">
            <v>6.3869984605555548</v>
          </cell>
          <cell r="U89">
            <v>4.7136275499999991</v>
          </cell>
          <cell r="V89">
            <v>2.4741502866666671</v>
          </cell>
          <cell r="W89">
            <v>3.0862021066666667</v>
          </cell>
          <cell r="X89">
            <v>5.2764389490909096</v>
          </cell>
          <cell r="Y89">
            <v>-1.8040880479999979</v>
          </cell>
          <cell r="Z89">
            <v>-2.3055015394444442</v>
          </cell>
          <cell r="AA89">
            <v>87.791579391348506</v>
          </cell>
          <cell r="AB89">
            <v>8.6232630641157729E-2</v>
          </cell>
          <cell r="AC89">
            <v>4.6182777401568315E-2</v>
          </cell>
          <cell r="AD89">
            <v>0.13241540804272606</v>
          </cell>
          <cell r="AE89">
            <v>12.74</v>
          </cell>
          <cell r="AF89">
            <v>1.456</v>
          </cell>
          <cell r="AG89">
            <v>23.63</v>
          </cell>
          <cell r="AH89">
            <v>2.81</v>
          </cell>
          <cell r="AI89">
            <v>8.692499999999999</v>
          </cell>
          <cell r="AJ89">
            <v>8.692499999999999</v>
          </cell>
          <cell r="AK89">
            <v>8.692499999999999</v>
          </cell>
          <cell r="AL89">
            <v>8.692499999999999</v>
          </cell>
          <cell r="AM89">
            <v>8.692499999999999</v>
          </cell>
          <cell r="AN89">
            <v>8.692499999999999</v>
          </cell>
          <cell r="AO89">
            <v>8.692499999999999</v>
          </cell>
          <cell r="AP89">
            <v>0.49101880666666631</v>
          </cell>
          <cell r="AQ89">
            <v>14.405856462500001</v>
          </cell>
          <cell r="AR89">
            <v>2.2660254555555568</v>
          </cell>
          <cell r="AS89">
            <v>5.2764389490909096</v>
          </cell>
          <cell r="AT89">
            <v>-1.8040880479999979</v>
          </cell>
          <cell r="AU89">
            <v>-2.3055015394444442</v>
          </cell>
          <cell r="AV89">
            <v>-3.9788724499999999</v>
          </cell>
          <cell r="AW89">
            <v>-6.2183497133333319</v>
          </cell>
          <cell r="AX89">
            <v>-5.6062978933333323</v>
          </cell>
          <cell r="AY89">
            <v>29.092875269166669</v>
          </cell>
          <cell r="AZ89">
            <v>54.988900724722228</v>
          </cell>
          <cell r="BA89">
            <v>63.07533967381314</v>
          </cell>
          <cell r="BB89">
            <v>69.963751625813146</v>
          </cell>
          <cell r="BC89">
            <v>76.350750086368706</v>
          </cell>
          <cell r="BD89">
            <v>81.064377636368704</v>
          </cell>
          <cell r="BE89">
            <v>83.538527923035375</v>
          </cell>
          <cell r="BF89">
            <v>86.624730029702036</v>
          </cell>
          <cell r="BG89">
            <v>91.901168978792953</v>
          </cell>
          <cell r="BH89">
            <v>14.196</v>
          </cell>
          <cell r="BI89">
            <v>37.826000000000001</v>
          </cell>
          <cell r="BJ89">
            <v>40.636000000000003</v>
          </cell>
          <cell r="BK89">
            <v>49.328500000000005</v>
          </cell>
          <cell r="BL89">
            <v>58.021000000000001</v>
          </cell>
          <cell r="BM89">
            <v>66.713499999999996</v>
          </cell>
          <cell r="BN89">
            <v>75.405999999999992</v>
          </cell>
          <cell r="BO89">
            <v>84.098499999999987</v>
          </cell>
          <cell r="BP89">
            <v>92.790999999999983</v>
          </cell>
          <cell r="BQ89">
            <v>14.896875269166669</v>
          </cell>
          <cell r="BR89">
            <v>17.162900724722228</v>
          </cell>
          <cell r="BS89">
            <v>22.439339673813137</v>
          </cell>
          <cell r="BT89">
            <v>20.63525162581314</v>
          </cell>
          <cell r="BU89">
            <v>18.329750086368705</v>
          </cell>
          <cell r="BV89">
            <v>14.350877636368708</v>
          </cell>
          <cell r="BW89">
            <v>8.1325279230353829</v>
          </cell>
          <cell r="BX89">
            <v>2.5262300297020488</v>
          </cell>
          <cell r="BY89">
            <v>-0.88983102120702995</v>
          </cell>
          <cell r="BZ89">
            <v>6.9509888000000011</v>
          </cell>
          <cell r="CA89">
            <v>0.80289280000000007</v>
          </cell>
          <cell r="CB89">
            <v>13.54111</v>
          </cell>
          <cell r="CC89">
            <v>54.988900724722228</v>
          </cell>
          <cell r="CD89">
            <v>21.294991600000003</v>
          </cell>
          <cell r="CE89">
            <v>33.693909124722225</v>
          </cell>
          <cell r="CF89">
            <v>158.22457109925426</v>
          </cell>
        </row>
        <row r="90">
          <cell r="E90" t="str">
            <v>Préstamo por Venta de Epsa</v>
          </cell>
          <cell r="N90">
            <v>0</v>
          </cell>
          <cell r="AA90">
            <v>0</v>
          </cell>
          <cell r="AB90" t="str">
            <v xml:space="preserve"> </v>
          </cell>
          <cell r="AC90" t="str">
            <v xml:space="preserve"> </v>
          </cell>
          <cell r="AD90" t="str">
            <v xml:space="preserve"> </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t="str">
            <v xml:space="preserve">n.a. </v>
          </cell>
        </row>
        <row r="91">
          <cell r="E91" t="str">
            <v>Préstamo CEDE</v>
          </cell>
          <cell r="L91">
            <v>164.96341974965685</v>
          </cell>
          <cell r="N91">
            <v>164.96341974965685</v>
          </cell>
          <cell r="O91">
            <v>1.4687005666666669E-2</v>
          </cell>
          <cell r="P91">
            <v>29.116483568500001</v>
          </cell>
          <cell r="Q91">
            <v>16.267671668333335</v>
          </cell>
          <cell r="R91">
            <v>18.511720713454544</v>
          </cell>
          <cell r="S91">
            <v>0</v>
          </cell>
          <cell r="T91">
            <v>4.875120232944445</v>
          </cell>
          <cell r="U91">
            <v>0</v>
          </cell>
          <cell r="V91">
            <v>29.481852691500002</v>
          </cell>
          <cell r="W91">
            <v>27.041020524666667</v>
          </cell>
          <cell r="X91">
            <v>0</v>
          </cell>
          <cell r="Y91">
            <v>0</v>
          </cell>
          <cell r="Z91">
            <v>0</v>
          </cell>
          <cell r="AA91">
            <v>125.30855640506564</v>
          </cell>
          <cell r="AB91">
            <v>0.15328911254929334</v>
          </cell>
          <cell r="AC91" t="str">
            <v xml:space="preserve"> </v>
          </cell>
          <cell r="AD91">
            <v>0.15328911254929334</v>
          </cell>
          <cell r="AE91">
            <v>0</v>
          </cell>
          <cell r="AF91">
            <v>33.588349956987656</v>
          </cell>
          <cell r="AG91">
            <v>19.208969106525082</v>
          </cell>
          <cell r="AH91">
            <v>19.04765919106708</v>
          </cell>
          <cell r="AI91">
            <v>0</v>
          </cell>
          <cell r="AJ91">
            <v>5.6009153011636998</v>
          </cell>
          <cell r="AK91">
            <v>0</v>
          </cell>
          <cell r="AL91">
            <v>34.597060843799994</v>
          </cell>
          <cell r="AM91">
            <v>28.719507933196102</v>
          </cell>
          <cell r="AN91">
            <v>21.637750820818169</v>
          </cell>
          <cell r="AO91">
            <v>3.7271597017613702</v>
          </cell>
          <cell r="AP91">
            <v>1.4687005666666669E-2</v>
          </cell>
          <cell r="AQ91">
            <v>-4.4718663884876548</v>
          </cell>
          <cell r="AR91">
            <v>-2.9412974381917465</v>
          </cell>
          <cell r="AS91">
            <v>-0.53593847761253599</v>
          </cell>
          <cell r="AT91">
            <v>0</v>
          </cell>
          <cell r="AU91">
            <v>-0.72579506821925488</v>
          </cell>
          <cell r="AV91">
            <v>0</v>
          </cell>
          <cell r="AW91">
            <v>-5.1152081522999922</v>
          </cell>
          <cell r="AX91">
            <v>-1.6784874085294348</v>
          </cell>
          <cell r="AY91">
            <v>29.131170574166667</v>
          </cell>
          <cell r="AZ91">
            <v>45.398842242500002</v>
          </cell>
          <cell r="BA91">
            <v>63.910562955954546</v>
          </cell>
          <cell r="BB91">
            <v>63.910562955954546</v>
          </cell>
          <cell r="BC91">
            <v>68.785683188898986</v>
          </cell>
          <cell r="BD91">
            <v>68.785683188898986</v>
          </cell>
          <cell r="BE91">
            <v>98.267535880398981</v>
          </cell>
          <cell r="BF91">
            <v>125.30855640506564</v>
          </cell>
          <cell r="BG91">
            <v>125.30855640506564</v>
          </cell>
          <cell r="BH91">
            <v>33.588349956987656</v>
          </cell>
          <cell r="BI91">
            <v>52.797319063512738</v>
          </cell>
          <cell r="BJ91">
            <v>71.844978254579814</v>
          </cell>
          <cell r="BK91">
            <v>71.844978254579814</v>
          </cell>
          <cell r="BL91">
            <v>77.44589355574351</v>
          </cell>
          <cell r="BM91">
            <v>77.44589355574351</v>
          </cell>
          <cell r="BN91">
            <v>112.0429543995435</v>
          </cell>
          <cell r="BO91">
            <v>140.7624623327396</v>
          </cell>
          <cell r="BP91">
            <v>162.40021315355779</v>
          </cell>
          <cell r="BQ91">
            <v>-4.4571793828209891</v>
          </cell>
          <cell r="BR91">
            <v>-7.3984768210127356</v>
          </cell>
          <cell r="BS91">
            <v>-7.9344152986252681</v>
          </cell>
          <cell r="BT91">
            <v>-7.9344152986252681</v>
          </cell>
          <cell r="BU91">
            <v>-8.6602103668445238</v>
          </cell>
          <cell r="BV91">
            <v>-8.6602103668445238</v>
          </cell>
          <cell r="BW91">
            <v>-13.775418519144523</v>
          </cell>
          <cell r="BX91">
            <v>-15.453905927673958</v>
          </cell>
          <cell r="BY91">
            <v>-37.091656748492142</v>
          </cell>
          <cell r="BZ91">
            <v>0</v>
          </cell>
          <cell r="CA91">
            <v>29.570398060000002</v>
          </cell>
          <cell r="CB91">
            <v>17.4681155</v>
          </cell>
          <cell r="CC91">
            <v>45.398842242500002</v>
          </cell>
          <cell r="CD91">
            <v>47.038513559999998</v>
          </cell>
          <cell r="CE91">
            <v>-1.639671317499996</v>
          </cell>
          <cell r="CF91">
            <v>-3.4858059777091221</v>
          </cell>
        </row>
        <row r="92">
          <cell r="E92" t="str">
            <v>Menos Recuperación de Cartera</v>
          </cell>
          <cell r="L92">
            <v>-110.71319999999999</v>
          </cell>
          <cell r="N92">
            <v>-110.71319999999999</v>
          </cell>
          <cell r="O92">
            <v>-2.0330883711100003</v>
          </cell>
          <cell r="P92">
            <v>-0.53256691602000006</v>
          </cell>
          <cell r="Q92">
            <v>-2.12687518676</v>
          </cell>
          <cell r="R92">
            <v>-0.70515416314000012</v>
          </cell>
          <cell r="S92">
            <v>-1.36182708422</v>
          </cell>
          <cell r="T92">
            <v>-9.6798862954399993</v>
          </cell>
          <cell r="U92">
            <v>-0.37844078237000001</v>
          </cell>
          <cell r="V92">
            <v>-0.23923116609000003</v>
          </cell>
          <cell r="W92">
            <v>-4.7440032400000009E-3</v>
          </cell>
          <cell r="X92">
            <v>0</v>
          </cell>
          <cell r="Y92">
            <v>0</v>
          </cell>
          <cell r="Z92">
            <v>0</v>
          </cell>
          <cell r="AA92">
            <v>-17.061813968389998</v>
          </cell>
          <cell r="AB92">
            <v>-0.10287813020151532</v>
          </cell>
          <cell r="AC92" t="str">
            <v xml:space="preserve"> </v>
          </cell>
          <cell r="AD92">
            <v>-0.10287813020151532</v>
          </cell>
          <cell r="AE92">
            <v>2.1339999999999999</v>
          </cell>
          <cell r="AF92">
            <v>0.67500000000000004</v>
          </cell>
          <cell r="AG92">
            <v>2.7948</v>
          </cell>
          <cell r="AH92">
            <v>7.15</v>
          </cell>
          <cell r="AI92">
            <v>5.15</v>
          </cell>
          <cell r="AJ92">
            <v>4.7</v>
          </cell>
          <cell r="AK92">
            <v>1.5</v>
          </cell>
          <cell r="AL92">
            <v>2.2999999999999998</v>
          </cell>
          <cell r="AM92">
            <v>4.8</v>
          </cell>
          <cell r="AN92">
            <v>2.37</v>
          </cell>
          <cell r="AO92">
            <v>1.89</v>
          </cell>
          <cell r="AP92">
            <v>-4.1670883711100002</v>
          </cell>
          <cell r="AQ92">
            <v>-1.2075669160200002</v>
          </cell>
          <cell r="AR92">
            <v>-4.9216751867599999</v>
          </cell>
          <cell r="AS92">
            <v>-7.8551541631400008</v>
          </cell>
          <cell r="AT92">
            <v>-6.5118270842200001</v>
          </cell>
          <cell r="AU92">
            <v>-14.379886295439999</v>
          </cell>
          <cell r="AV92">
            <v>-1.87844078237</v>
          </cell>
          <cell r="AW92">
            <v>-2.53923116609</v>
          </cell>
          <cell r="AX92">
            <v>-4.8047440032399997</v>
          </cell>
          <cell r="AY92">
            <v>-2.5656552871300002</v>
          </cell>
          <cell r="AZ92">
            <v>-4.6925304738900007</v>
          </cell>
          <cell r="BA92">
            <v>-5.3976846370300011</v>
          </cell>
          <cell r="BB92">
            <v>-6.7595117212500009</v>
          </cell>
          <cell r="BC92">
            <v>-16.439398016689999</v>
          </cell>
          <cell r="BD92">
            <v>-16.817838799059999</v>
          </cell>
          <cell r="BE92">
            <v>-17.057069965149999</v>
          </cell>
          <cell r="BF92">
            <v>-17.061813968389998</v>
          </cell>
          <cell r="BG92">
            <v>-17.061813968389998</v>
          </cell>
          <cell r="BH92">
            <v>2.8090000000000002</v>
          </cell>
          <cell r="BI92">
            <v>5.6037999999999997</v>
          </cell>
          <cell r="BJ92">
            <v>12.7538</v>
          </cell>
          <cell r="BK92">
            <v>17.9038</v>
          </cell>
          <cell r="BL92">
            <v>22.6038</v>
          </cell>
          <cell r="BM92">
            <v>24.1038</v>
          </cell>
          <cell r="BN92">
            <v>26.4038</v>
          </cell>
          <cell r="BO92">
            <v>31.203800000000001</v>
          </cell>
          <cell r="BP92">
            <v>33.573799999999999</v>
          </cell>
          <cell r="BQ92">
            <v>-5.3746552871300004</v>
          </cell>
          <cell r="BR92">
            <v>-10.29633047389</v>
          </cell>
          <cell r="BS92">
            <v>-18.151484637030002</v>
          </cell>
          <cell r="BT92">
            <v>-24.66331172125</v>
          </cell>
          <cell r="BU92">
            <v>-39.043198016689999</v>
          </cell>
          <cell r="BV92">
            <v>-40.921638799059998</v>
          </cell>
          <cell r="BW92">
            <v>-43.460869965149996</v>
          </cell>
          <cell r="BX92">
            <v>-48.265613968389999</v>
          </cell>
          <cell r="BY92">
            <v>-50.635613968389997</v>
          </cell>
          <cell r="BZ92">
            <v>-3.5937779999999999</v>
          </cell>
          <cell r="CA92">
            <v>-1.5256049859999998</v>
          </cell>
          <cell r="CB92">
            <v>-5.7505820000000005</v>
          </cell>
          <cell r="CC92">
            <v>-4.6925304738900007</v>
          </cell>
          <cell r="CD92">
            <v>-10.869964985999999</v>
          </cell>
          <cell r="CE92">
            <v>6.1774345121099987</v>
          </cell>
          <cell r="CF92">
            <v>-56.83030736590451</v>
          </cell>
        </row>
        <row r="93">
          <cell r="AX93">
            <v>0</v>
          </cell>
          <cell r="BN93">
            <v>0</v>
          </cell>
          <cell r="BO93">
            <v>0</v>
          </cell>
        </row>
        <row r="94">
          <cell r="L94" t="e">
            <v>#REF!</v>
          </cell>
          <cell r="M94" t="e">
            <v>#REF!</v>
          </cell>
          <cell r="N94" t="e">
            <v>#REF!</v>
          </cell>
          <cell r="Q94">
            <v>-890.21048852006766</v>
          </cell>
          <cell r="R94">
            <v>-489.17203684915734</v>
          </cell>
          <cell r="S94">
            <v>-526.42041784220692</v>
          </cell>
          <cell r="T94">
            <v>-43.394175336371745</v>
          </cell>
          <cell r="U94">
            <v>-349.40508194797616</v>
          </cell>
          <cell r="V94">
            <v>71.192121544294253</v>
          </cell>
          <cell r="W94">
            <v>-731.83657163718533</v>
          </cell>
          <cell r="X94">
            <v>-67.723031706633776</v>
          </cell>
          <cell r="Y94">
            <v>-525.49327769146953</v>
          </cell>
          <cell r="Z94">
            <v>-602.33735328808928</v>
          </cell>
          <cell r="AA94">
            <v>-4794.4480445924883</v>
          </cell>
          <cell r="AB94" t="e">
            <v>#REF!</v>
          </cell>
          <cell r="AC94" t="e">
            <v>#REF!</v>
          </cell>
          <cell r="AD94" t="e">
            <v>#REF!</v>
          </cell>
          <cell r="AE94">
            <v>-590.84550737537973</v>
          </cell>
          <cell r="AF94">
            <v>-5.8513556460382858</v>
          </cell>
          <cell r="AG94">
            <v>-1278.4912493485408</v>
          </cell>
          <cell r="AH94">
            <v>-412.28770791375325</v>
          </cell>
          <cell r="AI94">
            <v>-575.78383538391915</v>
          </cell>
          <cell r="AJ94">
            <v>-124.97289252651457</v>
          </cell>
          <cell r="AK94">
            <v>-383.48616455117605</v>
          </cell>
          <cell r="AL94">
            <v>-66.720873594724068</v>
          </cell>
          <cell r="AM94">
            <v>-765.64063875035754</v>
          </cell>
          <cell r="AN94">
            <v>-121.50799739127827</v>
          </cell>
          <cell r="AO94">
            <v>-564.10987128517513</v>
          </cell>
          <cell r="AP94">
            <v>31.100615840510159</v>
          </cell>
          <cell r="AQ94">
            <v>-74.051484136716482</v>
          </cell>
          <cell r="AR94">
            <v>388.28076082847315</v>
          </cell>
          <cell r="AS94">
            <v>-76.884328935404085</v>
          </cell>
          <cell r="AT94">
            <v>49.363417541712238</v>
          </cell>
          <cell r="AU94">
            <v>81.578717190142825</v>
          </cell>
          <cell r="AV94">
            <v>34.081082603199889</v>
          </cell>
          <cell r="AW94">
            <v>137.91299513901834</v>
          </cell>
          <cell r="AX94">
            <v>33.804067113172209</v>
          </cell>
          <cell r="AY94">
            <v>-649.48383589024456</v>
          </cell>
          <cell r="AZ94">
            <v>-1547.6599122676816</v>
          </cell>
          <cell r="BA94">
            <v>-2040.3565412682294</v>
          </cell>
          <cell r="BB94">
            <v>-2570.319859389595</v>
          </cell>
          <cell r="BC94">
            <v>-2618.4558589006483</v>
          </cell>
          <cell r="BD94">
            <v>-2970.5828402083162</v>
          </cell>
          <cell r="BE94">
            <v>-2902.5030212866623</v>
          </cell>
          <cell r="BF94">
            <v>-3642.7581881444357</v>
          </cell>
          <cell r="BG94">
            <v>-3710.4812198510667</v>
          </cell>
          <cell r="BH94">
            <v>-654.69573213025092</v>
          </cell>
          <cell r="BI94">
            <v>-1875.1881123699588</v>
          </cell>
          <cell r="BJ94">
            <v>-2287.4758202837111</v>
          </cell>
          <cell r="BK94">
            <v>-2863.2596556676299</v>
          </cell>
          <cell r="BL94">
            <v>-2988.2325481941452</v>
          </cell>
          <cell r="BM94">
            <v>-3371.7187127453208</v>
          </cell>
          <cell r="BN94">
            <v>-3438.4395863400459</v>
          </cell>
          <cell r="BO94">
            <v>-4204.0802250904035</v>
          </cell>
          <cell r="BP94">
            <v>-4325.5882224816814</v>
          </cell>
          <cell r="BQ94">
            <v>5.2118962400066362</v>
          </cell>
          <cell r="BR94">
            <v>327.52820010227668</v>
          </cell>
          <cell r="BS94">
            <v>247.11927901548228</v>
          </cell>
          <cell r="BT94">
            <v>292.93979627803418</v>
          </cell>
          <cell r="BU94">
            <v>369.77668929349653</v>
          </cell>
          <cell r="BV94">
            <v>401.13587253700581</v>
          </cell>
          <cell r="BW94">
            <v>535.93656505338367</v>
          </cell>
          <cell r="BX94">
            <v>561.32203694596774</v>
          </cell>
          <cell r="BY94">
            <v>615.10700263061472</v>
          </cell>
          <cell r="BZ94" t="e">
            <v>#REF!</v>
          </cell>
          <cell r="CA94" t="e">
            <v>#REF!</v>
          </cell>
          <cell r="CB94" t="e">
            <v>#REF!</v>
          </cell>
          <cell r="CC94">
            <v>-1547.6599122676816</v>
          </cell>
          <cell r="CD94" t="e">
            <v>#REF!</v>
          </cell>
          <cell r="CE94" t="e">
            <v>#REF!</v>
          </cell>
          <cell r="CF94" t="e">
            <v>#REF!</v>
          </cell>
        </row>
        <row r="95">
          <cell r="AX95">
            <v>0</v>
          </cell>
          <cell r="BN95">
            <v>0</v>
          </cell>
          <cell r="BO95">
            <v>0</v>
          </cell>
        </row>
        <row r="96">
          <cell r="L96" t="e">
            <v>#REF!</v>
          </cell>
          <cell r="M96" t="e">
            <v>#REF!</v>
          </cell>
          <cell r="N96" t="e">
            <v>#REF!</v>
          </cell>
          <cell r="Q96">
            <v>890.21048852006766</v>
          </cell>
          <cell r="R96">
            <v>489.17203684915734</v>
          </cell>
          <cell r="S96">
            <v>526.42041784220692</v>
          </cell>
          <cell r="T96">
            <v>43.394175336371745</v>
          </cell>
          <cell r="U96">
            <v>349.40508194797616</v>
          </cell>
          <cell r="V96">
            <v>-71.192121544294253</v>
          </cell>
          <cell r="W96">
            <v>731.83657163718533</v>
          </cell>
          <cell r="X96">
            <v>67.723031706633776</v>
          </cell>
          <cell r="Y96">
            <v>525.49327769146953</v>
          </cell>
          <cell r="Z96">
            <v>602.33735328808928</v>
          </cell>
          <cell r="AA96">
            <v>4794.4480445924883</v>
          </cell>
          <cell r="AB96" t="e">
            <v>#REF!</v>
          </cell>
          <cell r="AC96" t="e">
            <v>#REF!</v>
          </cell>
          <cell r="AD96" t="e">
            <v>#REF!</v>
          </cell>
          <cell r="AE96">
            <v>590.84550737537973</v>
          </cell>
          <cell r="AF96">
            <v>5.8513556460382858</v>
          </cell>
          <cell r="AG96">
            <v>1278.4912493485408</v>
          </cell>
          <cell r="AH96">
            <v>412.28770791375325</v>
          </cell>
          <cell r="AI96">
            <v>575.78383538391915</v>
          </cell>
          <cell r="AJ96">
            <v>124.97289252651457</v>
          </cell>
          <cell r="AK96">
            <v>383.48616455117605</v>
          </cell>
          <cell r="AL96">
            <v>66.720873594724068</v>
          </cell>
          <cell r="AM96">
            <v>765.64063875035754</v>
          </cell>
          <cell r="AN96">
            <v>121.50799739127827</v>
          </cell>
          <cell r="AO96">
            <v>564.10987128517513</v>
          </cell>
          <cell r="AP96">
            <v>-31.100615840510159</v>
          </cell>
          <cell r="AQ96">
            <v>74.051484136716482</v>
          </cell>
          <cell r="AR96">
            <v>-388.28076082847315</v>
          </cell>
          <cell r="AS96">
            <v>76.884328935404085</v>
          </cell>
          <cell r="AT96">
            <v>-49.363417541712238</v>
          </cell>
          <cell r="AU96">
            <v>-81.578717190142825</v>
          </cell>
          <cell r="AV96">
            <v>-34.081082603199889</v>
          </cell>
          <cell r="AW96">
            <v>-137.91299513901834</v>
          </cell>
          <cell r="AX96">
            <v>-33.804067113172209</v>
          </cell>
          <cell r="AY96">
            <v>649.48383589024456</v>
          </cell>
          <cell r="AZ96">
            <v>1547.6599122676816</v>
          </cell>
          <cell r="BA96">
            <v>2040.3565412682294</v>
          </cell>
          <cell r="BB96">
            <v>2570.319859389595</v>
          </cell>
          <cell r="BC96">
            <v>2618.4558589006483</v>
          </cell>
          <cell r="BD96">
            <v>2970.5828402083162</v>
          </cell>
          <cell r="BE96">
            <v>2902.5030212866623</v>
          </cell>
          <cell r="BF96">
            <v>3642.7581881444357</v>
          </cell>
          <cell r="BG96">
            <v>3710.4812198510667</v>
          </cell>
          <cell r="BH96">
            <v>654.69573213025092</v>
          </cell>
          <cell r="BI96">
            <v>1875.1881123699588</v>
          </cell>
          <cell r="BJ96">
            <v>2287.4758202837111</v>
          </cell>
          <cell r="BK96">
            <v>2863.2596556676299</v>
          </cell>
          <cell r="BL96">
            <v>2988.2325481941452</v>
          </cell>
          <cell r="BM96">
            <v>3371.7187127453208</v>
          </cell>
          <cell r="BN96">
            <v>3438.4395863400459</v>
          </cell>
          <cell r="BO96">
            <v>4204.0802250904035</v>
          </cell>
          <cell r="BP96">
            <v>4325.5882224816814</v>
          </cell>
          <cell r="BQ96">
            <v>-5.2118962400066362</v>
          </cell>
          <cell r="BR96">
            <v>-327.52820010227668</v>
          </cell>
          <cell r="BS96">
            <v>-247.11927901548228</v>
          </cell>
          <cell r="BT96">
            <v>-292.93979627803418</v>
          </cell>
          <cell r="BU96">
            <v>-369.77668929349653</v>
          </cell>
          <cell r="BV96">
            <v>-401.13587253700581</v>
          </cell>
          <cell r="BW96">
            <v>-535.93656505338367</v>
          </cell>
          <cell r="BX96">
            <v>-561.32203694596774</v>
          </cell>
          <cell r="BY96">
            <v>-615.10700263061472</v>
          </cell>
          <cell r="BZ96" t="e">
            <v>#REF!</v>
          </cell>
          <cell r="CA96" t="e">
            <v>#REF!</v>
          </cell>
          <cell r="CB96" t="e">
            <v>#REF!</v>
          </cell>
          <cell r="CC96">
            <v>1547.6599122676816</v>
          </cell>
          <cell r="CD96" t="e">
            <v>#REF!</v>
          </cell>
          <cell r="CE96" t="e">
            <v>#REF!</v>
          </cell>
          <cell r="CF96" t="e">
            <v>#REF!</v>
          </cell>
        </row>
        <row r="97">
          <cell r="AX97">
            <v>0</v>
          </cell>
          <cell r="BN97">
            <v>0</v>
          </cell>
          <cell r="BO97">
            <v>0</v>
          </cell>
        </row>
        <row r="98">
          <cell r="L98">
            <v>639.05421527048111</v>
          </cell>
          <cell r="M98">
            <v>335.92549594676302</v>
          </cell>
          <cell r="N98">
            <v>974.97971121724413</v>
          </cell>
          <cell r="Q98">
            <v>2.9894620952923319</v>
          </cell>
          <cell r="R98">
            <v>-164.77816799706926</v>
          </cell>
          <cell r="S98">
            <v>-295.41200307049195</v>
          </cell>
          <cell r="T98">
            <v>1.1693489214799122</v>
          </cell>
          <cell r="U98">
            <v>-10.156778040254203</v>
          </cell>
          <cell r="V98">
            <v>2.7434353768728386</v>
          </cell>
          <cell r="W98">
            <v>-93.031746413190135</v>
          </cell>
          <cell r="X98">
            <v>43.998957597113261</v>
          </cell>
          <cell r="Y98">
            <v>24.711978947638865</v>
          </cell>
          <cell r="Z98">
            <v>189.83435812515449</v>
          </cell>
          <cell r="AA98">
            <v>759.39219859510604</v>
          </cell>
          <cell r="AB98">
            <v>0.59382894509799888</v>
          </cell>
          <cell r="AC98">
            <v>0.31215236222979464</v>
          </cell>
          <cell r="AD98">
            <v>0.90598130732779358</v>
          </cell>
          <cell r="AE98">
            <v>34.883341659996759</v>
          </cell>
          <cell r="AF98">
            <v>828.78595952418698</v>
          </cell>
          <cell r="AG98">
            <v>36.778636096465263</v>
          </cell>
          <cell r="AH98">
            <v>-103.89689032556608</v>
          </cell>
          <cell r="AI98">
            <v>-242.52994766108284</v>
          </cell>
          <cell r="AJ98">
            <v>52.087356112903294</v>
          </cell>
          <cell r="AK98">
            <v>40.920096609244311</v>
          </cell>
          <cell r="AL98">
            <v>41.739180194382115</v>
          </cell>
          <cell r="AM98">
            <v>-72.382533511861823</v>
          </cell>
          <cell r="AN98">
            <v>-29.276127941215918</v>
          </cell>
          <cell r="AO98">
            <v>91.586691720826991</v>
          </cell>
          <cell r="AP98">
            <v>-20.444387593865255</v>
          </cell>
          <cell r="AQ98">
            <v>214.09843946224112</v>
          </cell>
          <cell r="AR98">
            <v>-33.789174001172931</v>
          </cell>
          <cell r="AS98">
            <v>-60.881277671503184</v>
          </cell>
          <cell r="AT98">
            <v>-52.882055409409105</v>
          </cell>
          <cell r="AU98">
            <v>-50.918007191423385</v>
          </cell>
          <cell r="AV98">
            <v>-51.076874649498514</v>
          </cell>
          <cell r="AW98">
            <v>-38.995744817509276</v>
          </cell>
          <cell r="AX98">
            <v>-20.649212901328312</v>
          </cell>
          <cell r="AY98">
            <v>1057.3233530525597</v>
          </cell>
          <cell r="AZ98">
            <v>1060.3128151478522</v>
          </cell>
          <cell r="BA98">
            <v>895.53464715078269</v>
          </cell>
          <cell r="BB98">
            <v>600.12264408029068</v>
          </cell>
          <cell r="BC98">
            <v>601.29199300177049</v>
          </cell>
          <cell r="BD98">
            <v>591.13521496151657</v>
          </cell>
          <cell r="BE98">
            <v>593.87865033838943</v>
          </cell>
          <cell r="BF98">
            <v>500.84690392519929</v>
          </cell>
          <cell r="BG98">
            <v>544.84586152231236</v>
          </cell>
          <cell r="BH98">
            <v>863.66930118418372</v>
          </cell>
          <cell r="BI98">
            <v>900.44793728064883</v>
          </cell>
          <cell r="BJ98">
            <v>796.55104695508282</v>
          </cell>
          <cell r="BK98">
            <v>554.0210992939999</v>
          </cell>
          <cell r="BL98">
            <v>606.10845540690343</v>
          </cell>
          <cell r="BM98">
            <v>647.02855201614761</v>
          </cell>
          <cell r="BN98">
            <v>688.76773221052974</v>
          </cell>
          <cell r="BO98">
            <v>616.38519869866786</v>
          </cell>
          <cell r="BP98">
            <v>587.10907075745195</v>
          </cell>
          <cell r="BQ98">
            <v>193.65405186837592</v>
          </cell>
          <cell r="BR98">
            <v>159.86487786720298</v>
          </cell>
          <cell r="BS98">
            <v>98.983600195699808</v>
          </cell>
          <cell r="BT98">
            <v>46.101544786290731</v>
          </cell>
          <cell r="BU98">
            <v>-4.8164624051326967</v>
          </cell>
          <cell r="BV98">
            <v>-55.893337054631075</v>
          </cell>
          <cell r="BW98">
            <v>-94.889081872140309</v>
          </cell>
          <cell r="BX98">
            <v>-115.53829477346858</v>
          </cell>
          <cell r="BY98">
            <v>-42.263209235139584</v>
          </cell>
          <cell r="BZ98">
            <v>1.4981328000000005</v>
          </cell>
          <cell r="CA98">
            <v>366.78625418000001</v>
          </cell>
          <cell r="CB98">
            <v>263.98059999999998</v>
          </cell>
          <cell r="CC98">
            <v>1060.3128151478522</v>
          </cell>
          <cell r="CD98">
            <v>632.26498698</v>
          </cell>
          <cell r="CE98">
            <v>428.04782816785223</v>
          </cell>
          <cell r="CF98">
            <v>67.700700969132171</v>
          </cell>
        </row>
        <row r="99">
          <cell r="L99">
            <v>1428.4849897022912</v>
          </cell>
          <cell r="M99">
            <v>335.92549594676302</v>
          </cell>
          <cell r="N99">
            <v>1764.4104856490542</v>
          </cell>
          <cell r="Q99">
            <v>50.937557258403459</v>
          </cell>
          <cell r="R99">
            <v>37.39597355783981</v>
          </cell>
          <cell r="S99">
            <v>28.940566820708035</v>
          </cell>
          <cell r="T99">
            <v>30.712036930479918</v>
          </cell>
          <cell r="U99">
            <v>35.931942268301334</v>
          </cell>
          <cell r="V99">
            <v>84.686021780539505</v>
          </cell>
          <cell r="W99">
            <v>19.657021299809866</v>
          </cell>
          <cell r="X99">
            <v>156.90923406822435</v>
          </cell>
          <cell r="Y99">
            <v>37.102043533638863</v>
          </cell>
          <cell r="Z99">
            <v>219.22892079860355</v>
          </cell>
          <cell r="AA99">
            <v>1857.9286864009418</v>
          </cell>
          <cell r="AB99">
            <v>1.3273924406620223</v>
          </cell>
          <cell r="AC99">
            <v>0.31215236222979464</v>
          </cell>
          <cell r="AD99">
            <v>1.6395448028918169</v>
          </cell>
          <cell r="AE99">
            <v>60.376594117647059</v>
          </cell>
          <cell r="AF99">
            <v>907.19443251295115</v>
          </cell>
          <cell r="AG99">
            <v>88.734204559688919</v>
          </cell>
          <cell r="AH99">
            <v>42.168021793740976</v>
          </cell>
          <cell r="AI99">
            <v>57.148968347815327</v>
          </cell>
          <cell r="AJ99">
            <v>74.831563446766765</v>
          </cell>
          <cell r="AK99">
            <v>92.394756404912712</v>
          </cell>
          <cell r="AL99">
            <v>69.852676542503275</v>
          </cell>
          <cell r="AM99">
            <v>81.862530473357879</v>
          </cell>
          <cell r="AN99">
            <v>107.71517339232685</v>
          </cell>
          <cell r="AO99">
            <v>142.5262457243648</v>
          </cell>
          <cell r="AP99">
            <v>-21.052551138182217</v>
          </cell>
          <cell r="AQ99">
            <v>209.90889259197706</v>
          </cell>
          <cell r="AR99">
            <v>-37.796647301285461</v>
          </cell>
          <cell r="AS99">
            <v>-4.7720482359011669</v>
          </cell>
          <cell r="AT99">
            <v>-28.208401527107291</v>
          </cell>
          <cell r="AU99">
            <v>-44.119526516286847</v>
          </cell>
          <cell r="AV99">
            <v>-56.462814136611378</v>
          </cell>
          <cell r="AW99">
            <v>14.83334523803623</v>
          </cell>
          <cell r="AX99">
            <v>-62.205509173548009</v>
          </cell>
          <cell r="AY99">
            <v>1156.427368084393</v>
          </cell>
          <cell r="AZ99">
            <v>1207.3649253427966</v>
          </cell>
          <cell r="BA99">
            <v>1244.7608989006362</v>
          </cell>
          <cell r="BB99">
            <v>1273.7014657213442</v>
          </cell>
          <cell r="BC99">
            <v>1304.413502651824</v>
          </cell>
          <cell r="BD99">
            <v>1340.3454449201256</v>
          </cell>
          <cell r="BE99">
            <v>1425.0314667006651</v>
          </cell>
          <cell r="BF99">
            <v>1444.688488000475</v>
          </cell>
          <cell r="BG99">
            <v>1601.5977220686991</v>
          </cell>
          <cell r="BH99">
            <v>967.57102663059823</v>
          </cell>
          <cell r="BI99">
            <v>1056.305231190287</v>
          </cell>
          <cell r="BJ99">
            <v>1098.473252984028</v>
          </cell>
          <cell r="BK99">
            <v>1155.6222213318433</v>
          </cell>
          <cell r="BL99">
            <v>1230.4537847786103</v>
          </cell>
          <cell r="BM99">
            <v>1322.8485411835229</v>
          </cell>
          <cell r="BN99">
            <v>1392.701217726026</v>
          </cell>
          <cell r="BO99">
            <v>1474.563748199384</v>
          </cell>
          <cell r="BP99">
            <v>1582.278921591711</v>
          </cell>
          <cell r="BQ99">
            <v>188.85634145379476</v>
          </cell>
          <cell r="BR99">
            <v>151.05969415250931</v>
          </cell>
          <cell r="BS99">
            <v>146.28764591660814</v>
          </cell>
          <cell r="BT99">
            <v>118.07924438950084</v>
          </cell>
          <cell r="BU99">
            <v>73.959717873214018</v>
          </cell>
          <cell r="BV99">
            <v>17.496903736602661</v>
          </cell>
          <cell r="BW99">
            <v>32.330248974639062</v>
          </cell>
          <cell r="BX99">
            <v>-29.875260198909018</v>
          </cell>
          <cell r="BY99">
            <v>19.318800476988145</v>
          </cell>
          <cell r="BZ99">
            <v>17.5490368</v>
          </cell>
          <cell r="CA99">
            <v>447.42097360000002</v>
          </cell>
          <cell r="CB99">
            <v>321.45983000000001</v>
          </cell>
          <cell r="CC99">
            <v>1207.3649253427966</v>
          </cell>
          <cell r="CD99">
            <v>786.42984039999999</v>
          </cell>
          <cell r="CE99">
            <v>420.93508494279661</v>
          </cell>
          <cell r="CF99">
            <v>53.524810900956822</v>
          </cell>
        </row>
        <row r="100">
          <cell r="L100">
            <v>356.97048970229122</v>
          </cell>
          <cell r="N100">
            <v>356.97048970229122</v>
          </cell>
          <cell r="Q100">
            <v>25.211344145070115</v>
          </cell>
          <cell r="R100">
            <v>15.471296199657996</v>
          </cell>
          <cell r="S100">
            <v>14.601926332708032</v>
          </cell>
          <cell r="T100">
            <v>27.790709804368806</v>
          </cell>
          <cell r="U100">
            <v>24.114951007745784</v>
          </cell>
          <cell r="V100">
            <v>52.914449292206172</v>
          </cell>
          <cell r="W100">
            <v>10.4738662931432</v>
          </cell>
          <cell r="X100">
            <v>22.569315121557686</v>
          </cell>
          <cell r="Y100">
            <v>37.102043533638863</v>
          </cell>
          <cell r="Z100">
            <v>89.728920798603539</v>
          </cell>
          <cell r="AA100">
            <v>343.14598011434299</v>
          </cell>
          <cell r="AB100">
            <v>0.33170802142554823</v>
          </cell>
          <cell r="AC100" t="str">
            <v xml:space="preserve"> </v>
          </cell>
          <cell r="AD100">
            <v>0.33170802142554823</v>
          </cell>
          <cell r="AE100">
            <v>31.6</v>
          </cell>
          <cell r="AF100">
            <v>33.909257759124486</v>
          </cell>
          <cell r="AG100">
            <v>45.457189265571266</v>
          </cell>
          <cell r="AH100">
            <v>19.748698264329217</v>
          </cell>
          <cell r="AI100">
            <v>21.840693053697674</v>
          </cell>
          <cell r="AJ100">
            <v>28.471841093825585</v>
          </cell>
          <cell r="AK100">
            <v>37.506622287265657</v>
          </cell>
          <cell r="AL100">
            <v>29.261461248385629</v>
          </cell>
          <cell r="AM100">
            <v>26.146386943946119</v>
          </cell>
          <cell r="AN100">
            <v>50.999029862915073</v>
          </cell>
          <cell r="AO100">
            <v>30.595363959658915</v>
          </cell>
          <cell r="AP100">
            <v>-28.748003050535168</v>
          </cell>
          <cell r="AQ100">
            <v>-13.594097122946511</v>
          </cell>
          <cell r="AR100">
            <v>-20.245845120501151</v>
          </cell>
          <cell r="AS100">
            <v>-4.2774020646712216</v>
          </cell>
          <cell r="AT100">
            <v>-7.2387667209896414</v>
          </cell>
          <cell r="AU100">
            <v>-0.68113128945677914</v>
          </cell>
          <cell r="AV100">
            <v>-13.391671279519873</v>
          </cell>
          <cell r="AW100">
            <v>23.652988043820542</v>
          </cell>
          <cell r="AX100">
            <v>-15.67252065080292</v>
          </cell>
          <cell r="AY100">
            <v>23.167157585642808</v>
          </cell>
          <cell r="AZ100">
            <v>48.378501730712927</v>
          </cell>
          <cell r="BA100">
            <v>63.849797930370926</v>
          </cell>
          <cell r="BB100">
            <v>78.451724263078958</v>
          </cell>
          <cell r="BC100">
            <v>106.24243406744776</v>
          </cell>
          <cell r="BD100">
            <v>130.35738507519355</v>
          </cell>
          <cell r="BE100">
            <v>183.27183436739972</v>
          </cell>
          <cell r="BF100">
            <v>193.74570066054292</v>
          </cell>
          <cell r="BG100">
            <v>216.3150157821006</v>
          </cell>
          <cell r="BH100">
            <v>65.509257759124495</v>
          </cell>
          <cell r="BI100">
            <v>110.96644702469575</v>
          </cell>
          <cell r="BJ100">
            <v>130.71514528902497</v>
          </cell>
          <cell r="BK100">
            <v>152.55583834272264</v>
          </cell>
          <cell r="BL100">
            <v>181.02767943654823</v>
          </cell>
          <cell r="BM100">
            <v>218.53430172381388</v>
          </cell>
          <cell r="BN100">
            <v>247.7957629721995</v>
          </cell>
          <cell r="BO100">
            <v>273.94214991614564</v>
          </cell>
          <cell r="BP100">
            <v>324.94117977906069</v>
          </cell>
          <cell r="BQ100">
            <v>-42.342100173481683</v>
          </cell>
          <cell r="BR100">
            <v>-62.587945293982827</v>
          </cell>
          <cell r="BS100">
            <v>-66.865347358654049</v>
          </cell>
          <cell r="BT100">
            <v>-74.104114079643679</v>
          </cell>
          <cell r="BU100">
            <v>-74.785245369100465</v>
          </cell>
          <cell r="BV100">
            <v>-88.176916648620335</v>
          </cell>
          <cell r="BW100">
            <v>-64.523928604799778</v>
          </cell>
          <cell r="BX100">
            <v>-80.196449255602715</v>
          </cell>
          <cell r="BY100">
            <v>-108.62616399696009</v>
          </cell>
          <cell r="BZ100">
            <v>1.8360000000000001</v>
          </cell>
          <cell r="CA100">
            <v>9.57714</v>
          </cell>
          <cell r="CB100">
            <v>13.1625</v>
          </cell>
          <cell r="CC100">
            <v>48.378501730712927</v>
          </cell>
          <cell r="CD100">
            <v>24.57564</v>
          </cell>
          <cell r="CE100">
            <v>23.802861730712927</v>
          </cell>
          <cell r="CF100">
            <v>96.855511110648294</v>
          </cell>
        </row>
        <row r="101">
          <cell r="L101">
            <v>1071.5145</v>
          </cell>
          <cell r="N101">
            <v>1071.5145</v>
          </cell>
          <cell r="Q101">
            <v>0</v>
          </cell>
          <cell r="R101">
            <v>0</v>
          </cell>
          <cell r="S101">
            <v>0</v>
          </cell>
          <cell r="T101">
            <v>0</v>
          </cell>
          <cell r="U101">
            <v>0</v>
          </cell>
          <cell r="V101">
            <v>0</v>
          </cell>
          <cell r="W101">
            <v>0</v>
          </cell>
          <cell r="X101">
            <v>125.86422222222221</v>
          </cell>
          <cell r="Y101">
            <v>0</v>
          </cell>
          <cell r="Z101">
            <v>129.5</v>
          </cell>
          <cell r="AA101">
            <v>1326.9345440034724</v>
          </cell>
          <cell r="AB101">
            <v>0.99568441923647422</v>
          </cell>
          <cell r="AC101" t="str">
            <v xml:space="preserve"> </v>
          </cell>
          <cell r="AD101">
            <v>0.99568441923647422</v>
          </cell>
          <cell r="AE101">
            <v>0</v>
          </cell>
          <cell r="AF101">
            <v>802.26950534206196</v>
          </cell>
          <cell r="AG101">
            <v>0</v>
          </cell>
          <cell r="AH101">
            <v>0</v>
          </cell>
          <cell r="AI101">
            <v>0</v>
          </cell>
          <cell r="AJ101">
            <v>0</v>
          </cell>
          <cell r="AK101">
            <v>0</v>
          </cell>
          <cell r="AL101">
            <v>0</v>
          </cell>
          <cell r="AM101">
            <v>0</v>
          </cell>
          <cell r="AN101">
            <v>0</v>
          </cell>
          <cell r="AO101">
            <v>0</v>
          </cell>
          <cell r="AP101">
            <v>0</v>
          </cell>
          <cell r="AQ101">
            <v>269.30081643918822</v>
          </cell>
          <cell r="AR101">
            <v>0</v>
          </cell>
          <cell r="AS101">
            <v>0</v>
          </cell>
          <cell r="AT101">
            <v>0</v>
          </cell>
          <cell r="AU101">
            <v>0</v>
          </cell>
          <cell r="AV101">
            <v>0</v>
          </cell>
          <cell r="AW101">
            <v>0</v>
          </cell>
          <cell r="AX101">
            <v>0</v>
          </cell>
          <cell r="AY101">
            <v>1071.5703217812502</v>
          </cell>
          <cell r="AZ101">
            <v>1071.5703217812502</v>
          </cell>
          <cell r="BA101">
            <v>1071.5703217812502</v>
          </cell>
          <cell r="BB101">
            <v>1071.5703217812502</v>
          </cell>
          <cell r="BC101">
            <v>1071.5703217812502</v>
          </cell>
          <cell r="BD101">
            <v>1071.5703217812502</v>
          </cell>
          <cell r="BE101">
            <v>1071.5703217812502</v>
          </cell>
          <cell r="BF101">
            <v>1071.5703217812502</v>
          </cell>
          <cell r="BG101">
            <v>1197.4345440034724</v>
          </cell>
          <cell r="BH101">
            <v>802.26950534206196</v>
          </cell>
          <cell r="BI101">
            <v>802.26950534206196</v>
          </cell>
          <cell r="BJ101">
            <v>802.26950534206196</v>
          </cell>
          <cell r="BK101">
            <v>802.26950534206196</v>
          </cell>
          <cell r="BL101">
            <v>802.26950534206196</v>
          </cell>
          <cell r="BM101">
            <v>802.26950534206196</v>
          </cell>
          <cell r="BN101">
            <v>802.26950534206196</v>
          </cell>
          <cell r="BO101">
            <v>802.26950534206196</v>
          </cell>
          <cell r="BP101">
            <v>802.26950534206196</v>
          </cell>
          <cell r="BQ101">
            <v>269.30081643918822</v>
          </cell>
          <cell r="BR101">
            <v>269.30081643918822</v>
          </cell>
          <cell r="BS101">
            <v>269.30081643918822</v>
          </cell>
          <cell r="BT101">
            <v>269.30081643918822</v>
          </cell>
          <cell r="BU101">
            <v>269.30081643918822</v>
          </cell>
          <cell r="BV101">
            <v>269.30081643918822</v>
          </cell>
          <cell r="BW101">
            <v>269.30081643918822</v>
          </cell>
          <cell r="BX101">
            <v>269.30081643918822</v>
          </cell>
          <cell r="BY101">
            <v>395.16503866141045</v>
          </cell>
          <cell r="BZ101">
            <v>0</v>
          </cell>
          <cell r="CA101">
            <v>410.29914000000002</v>
          </cell>
          <cell r="CB101">
            <v>297.97899999999998</v>
          </cell>
          <cell r="CC101">
            <v>1071.5703217812502</v>
          </cell>
          <cell r="CD101">
            <v>708.27814000000001</v>
          </cell>
          <cell r="CE101">
            <v>363.29218178125018</v>
          </cell>
          <cell r="CF101">
            <v>51.292304712559698</v>
          </cell>
        </row>
        <row r="102">
          <cell r="M102">
            <v>335.92549594676302</v>
          </cell>
          <cell r="N102">
            <v>335.92549594676302</v>
          </cell>
          <cell r="Q102">
            <v>25.72621311333334</v>
          </cell>
          <cell r="R102">
            <v>21.924677358181814</v>
          </cell>
          <cell r="S102">
            <v>14.338640488000003</v>
          </cell>
          <cell r="T102">
            <v>2.9213271261111111</v>
          </cell>
          <cell r="U102">
            <v>11.816991260555552</v>
          </cell>
          <cell r="V102">
            <v>31.771572488333337</v>
          </cell>
          <cell r="W102">
            <v>9.1831550066666665</v>
          </cell>
          <cell r="X102">
            <v>8.475696724444445</v>
          </cell>
          <cell r="Y102">
            <v>0</v>
          </cell>
          <cell r="Z102">
            <v>0</v>
          </cell>
          <cell r="AA102">
            <v>187.84816228312627</v>
          </cell>
          <cell r="AB102" t="str">
            <v xml:space="preserve"> </v>
          </cell>
          <cell r="AC102">
            <v>0.31215236222979464</v>
          </cell>
          <cell r="AD102">
            <v>0.31215236222979464</v>
          </cell>
          <cell r="AE102">
            <v>28.776594117647058</v>
          </cell>
          <cell r="AF102">
            <v>71.015669411764705</v>
          </cell>
          <cell r="AG102">
            <v>43.277015294117646</v>
          </cell>
          <cell r="AH102">
            <v>22.419323529411763</v>
          </cell>
          <cell r="AI102">
            <v>35.308275294117649</v>
          </cell>
          <cell r="AJ102">
            <v>46.359722352941176</v>
          </cell>
          <cell r="AK102">
            <v>54.888134117647056</v>
          </cell>
          <cell r="AL102">
            <v>40.591215294117646</v>
          </cell>
          <cell r="AM102">
            <v>55.716143529411767</v>
          </cell>
          <cell r="AN102">
            <v>56.716143529411767</v>
          </cell>
          <cell r="AO102">
            <v>111.93088176470587</v>
          </cell>
          <cell r="AP102">
            <v>7.6954519123529508</v>
          </cell>
          <cell r="AQ102">
            <v>-45.797826724264695</v>
          </cell>
          <cell r="AR102">
            <v>-17.550802180784306</v>
          </cell>
          <cell r="AS102">
            <v>-0.49464617122994881</v>
          </cell>
          <cell r="AT102">
            <v>-20.969634806117647</v>
          </cell>
          <cell r="AU102">
            <v>-43.438395226830067</v>
          </cell>
          <cell r="AV102">
            <v>-43.071142857091502</v>
          </cell>
          <cell r="AW102">
            <v>-8.8196428057843086</v>
          </cell>
          <cell r="AX102">
            <v>-46.5329885227451</v>
          </cell>
          <cell r="AY102">
            <v>61.689888717500011</v>
          </cell>
          <cell r="AZ102">
            <v>87.416101830833355</v>
          </cell>
          <cell r="BA102">
            <v>109.34077918901517</v>
          </cell>
          <cell r="BB102">
            <v>123.67941967701518</v>
          </cell>
          <cell r="BC102">
            <v>126.60074680312628</v>
          </cell>
          <cell r="BD102">
            <v>138.41773806368184</v>
          </cell>
          <cell r="BE102">
            <v>170.18931055201517</v>
          </cell>
          <cell r="BF102">
            <v>179.37246555868182</v>
          </cell>
          <cell r="BG102">
            <v>187.84816228312627</v>
          </cell>
          <cell r="BH102">
            <v>99.79226352941177</v>
          </cell>
          <cell r="BI102">
            <v>143.06927882352943</v>
          </cell>
          <cell r="BJ102">
            <v>165.4886023529412</v>
          </cell>
          <cell r="BK102">
            <v>200.79687764705886</v>
          </cell>
          <cell r="BL102">
            <v>247.15660000000003</v>
          </cell>
          <cell r="BM102">
            <v>302.04473411764707</v>
          </cell>
          <cell r="BN102">
            <v>342.63594941176473</v>
          </cell>
          <cell r="BO102">
            <v>398.35209294117647</v>
          </cell>
          <cell r="BP102">
            <v>455.0682364705882</v>
          </cell>
          <cell r="BQ102">
            <v>-38.102374811911758</v>
          </cell>
          <cell r="BR102">
            <v>-55.653176992696075</v>
          </cell>
          <cell r="BS102">
            <v>-56.147823163926034</v>
          </cell>
          <cell r="BT102">
            <v>-77.117457970043688</v>
          </cell>
          <cell r="BU102">
            <v>-120.55585319687374</v>
          </cell>
          <cell r="BV102">
            <v>-163.62699605396523</v>
          </cell>
          <cell r="BW102">
            <v>-172.44663885974956</v>
          </cell>
          <cell r="BX102">
            <v>-218.97962738249464</v>
          </cell>
          <cell r="BY102">
            <v>-267.22007418746193</v>
          </cell>
          <cell r="BZ102">
            <v>15.713036800000001</v>
          </cell>
          <cell r="CA102">
            <v>27.544693599999995</v>
          </cell>
          <cell r="CB102">
            <v>10.31833</v>
          </cell>
          <cell r="CC102">
            <v>87.416101830833355</v>
          </cell>
          <cell r="CD102">
            <v>53.576060400000003</v>
          </cell>
          <cell r="CE102">
            <v>33.840041430833352</v>
          </cell>
          <cell r="CF102">
            <v>63.162616247224769</v>
          </cell>
        </row>
        <row r="103">
          <cell r="L103">
            <v>789.43077443181005</v>
          </cell>
          <cell r="M103">
            <v>0</v>
          </cell>
          <cell r="N103">
            <v>789.43077443181005</v>
          </cell>
          <cell r="Q103">
            <v>47.948095163111127</v>
          </cell>
          <cell r="R103">
            <v>202.17414155490908</v>
          </cell>
          <cell r="S103">
            <v>324.35256989120001</v>
          </cell>
          <cell r="T103">
            <v>29.542688009000006</v>
          </cell>
          <cell r="U103">
            <v>46.088720308555537</v>
          </cell>
          <cell r="V103">
            <v>81.942586403666667</v>
          </cell>
          <cell r="W103">
            <v>112.688767713</v>
          </cell>
          <cell r="X103">
            <v>112.91027647111109</v>
          </cell>
          <cell r="Y103">
            <v>12.390064585999998</v>
          </cell>
          <cell r="Z103">
            <v>29.394562673449055</v>
          </cell>
          <cell r="AA103">
            <v>1098.5364878058358</v>
          </cell>
          <cell r="AB103">
            <v>0.73356349556402356</v>
          </cell>
          <cell r="AC103" t="str">
            <v xml:space="preserve"> </v>
          </cell>
          <cell r="AD103">
            <v>0.73356349556402356</v>
          </cell>
          <cell r="AE103">
            <v>25.493252457650296</v>
          </cell>
          <cell r="AF103">
            <v>78.408472988764188</v>
          </cell>
          <cell r="AG103">
            <v>51.955568463223656</v>
          </cell>
          <cell r="AH103">
            <v>146.06491211930705</v>
          </cell>
          <cell r="AI103">
            <v>299.67891600889817</v>
          </cell>
          <cell r="AJ103">
            <v>22.744207333863471</v>
          </cell>
          <cell r="AK103">
            <v>51.474659795668401</v>
          </cell>
          <cell r="AL103">
            <v>28.113496348121156</v>
          </cell>
          <cell r="AM103">
            <v>154.2450639852197</v>
          </cell>
          <cell r="AN103">
            <v>136.99130133354276</v>
          </cell>
          <cell r="AO103">
            <v>50.9395540035378</v>
          </cell>
          <cell r="AP103">
            <v>-0.60816354431695885</v>
          </cell>
          <cell r="AQ103">
            <v>-4.1895468702641807</v>
          </cell>
          <cell r="AR103">
            <v>-4.0074733001125296</v>
          </cell>
          <cell r="AS103">
            <v>56.109229435602032</v>
          </cell>
          <cell r="AT103">
            <v>24.673653882301835</v>
          </cell>
          <cell r="AU103">
            <v>6.7984806751365348</v>
          </cell>
          <cell r="AV103">
            <v>-5.3859394871128643</v>
          </cell>
          <cell r="AW103">
            <v>53.829090055545507</v>
          </cell>
          <cell r="AX103">
            <v>-41.556296272219697</v>
          </cell>
          <cell r="AY103">
            <v>99.104015031833342</v>
          </cell>
          <cell r="AZ103">
            <v>147.05211019494448</v>
          </cell>
          <cell r="BA103">
            <v>349.22625174985353</v>
          </cell>
          <cell r="BB103">
            <v>673.57882164105354</v>
          </cell>
          <cell r="BC103">
            <v>703.12150965005355</v>
          </cell>
          <cell r="BD103">
            <v>749.21022995860903</v>
          </cell>
          <cell r="BE103">
            <v>831.15281636227564</v>
          </cell>
          <cell r="BF103">
            <v>943.8415840752757</v>
          </cell>
          <cell r="BG103">
            <v>1056.7518605463868</v>
          </cell>
          <cell r="BH103">
            <v>103.90172544641449</v>
          </cell>
          <cell r="BI103">
            <v>155.85729390963814</v>
          </cell>
          <cell r="BJ103">
            <v>301.9222060289452</v>
          </cell>
          <cell r="BK103">
            <v>601.60112203784342</v>
          </cell>
          <cell r="BL103">
            <v>624.34532937170684</v>
          </cell>
          <cell r="BM103">
            <v>675.8199891673753</v>
          </cell>
          <cell r="BN103">
            <v>703.9334855154965</v>
          </cell>
          <cell r="BO103">
            <v>858.17854950071614</v>
          </cell>
          <cell r="BP103">
            <v>995.16985083425891</v>
          </cell>
          <cell r="BQ103">
            <v>-4.7977104145811467</v>
          </cell>
          <cell r="BR103">
            <v>-8.8051837146936691</v>
          </cell>
          <cell r="BS103">
            <v>47.304045720908334</v>
          </cell>
          <cell r="BT103">
            <v>71.977699603210112</v>
          </cell>
          <cell r="BU103">
            <v>78.776180278346715</v>
          </cell>
          <cell r="BV103">
            <v>73.390240791233737</v>
          </cell>
          <cell r="BW103">
            <v>127.21933084677914</v>
          </cell>
          <cell r="BX103">
            <v>85.66303457455956</v>
          </cell>
          <cell r="BY103">
            <v>61.582009712127842</v>
          </cell>
          <cell r="BZ103">
            <v>16.050903999999999</v>
          </cell>
          <cell r="CA103">
            <v>80.634719419999996</v>
          </cell>
          <cell r="CB103">
            <v>57.479230000000001</v>
          </cell>
          <cell r="CC103">
            <v>147.05211019494448</v>
          </cell>
          <cell r="CD103">
            <v>154.16485341999999</v>
          </cell>
          <cell r="CE103">
            <v>-7.1127432250555103</v>
          </cell>
          <cell r="CF103">
            <v>-4.613725545911473</v>
          </cell>
        </row>
        <row r="104">
          <cell r="G104" t="str">
            <v>Menos Bonos Ley 55/85 y Otros</v>
          </cell>
          <cell r="L104">
            <v>279.56515974264568</v>
          </cell>
          <cell r="N104">
            <v>279.56515974264568</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0.25978059439896362</v>
          </cell>
          <cell r="AC104" t="str">
            <v xml:space="preserve"> </v>
          </cell>
          <cell r="AD104">
            <v>0.25978059439896362</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I104">
            <v>0</v>
          </cell>
          <cell r="BJ104">
            <v>0</v>
          </cell>
          <cell r="BK104">
            <v>0</v>
          </cell>
          <cell r="BL104">
            <v>0</v>
          </cell>
          <cell r="BM104">
            <v>0</v>
          </cell>
          <cell r="BN104">
            <v>0</v>
          </cell>
          <cell r="BO104">
            <v>0</v>
          </cell>
          <cell r="BP104">
            <v>0</v>
          </cell>
          <cell r="BW104">
            <v>0</v>
          </cell>
          <cell r="BX104">
            <v>0</v>
          </cell>
          <cell r="BY104">
            <v>0</v>
          </cell>
          <cell r="CC104">
            <v>0</v>
          </cell>
          <cell r="CD104">
            <v>0</v>
          </cell>
          <cell r="CE104">
            <v>0</v>
          </cell>
          <cell r="CF104" t="str">
            <v xml:space="preserve">n.a. </v>
          </cell>
        </row>
        <row r="105">
          <cell r="AX105">
            <v>0</v>
          </cell>
          <cell r="BN105">
            <v>0</v>
          </cell>
          <cell r="BO105">
            <v>0</v>
          </cell>
        </row>
        <row r="106">
          <cell r="L106" t="e">
            <v>#REF!</v>
          </cell>
          <cell r="M106" t="e">
            <v>#REF!</v>
          </cell>
          <cell r="N106" t="e">
            <v>#REF!</v>
          </cell>
          <cell r="Q106">
            <v>206.27681502049001</v>
          </cell>
          <cell r="R106">
            <v>639.88448619985002</v>
          </cell>
          <cell r="S106">
            <v>652.53199717977998</v>
          </cell>
          <cell r="T106">
            <v>248.23939259432001</v>
          </cell>
          <cell r="U106">
            <v>304.01528822100011</v>
          </cell>
          <cell r="V106">
            <v>420.99438568722007</v>
          </cell>
          <cell r="W106">
            <v>46.367790962989829</v>
          </cell>
          <cell r="X106">
            <v>583.99450135899986</v>
          </cell>
          <cell r="Y106">
            <v>70.188505643999989</v>
          </cell>
          <cell r="Z106">
            <v>-202.6288738400001</v>
          </cell>
          <cell r="AA106">
            <v>4055.4105103676493</v>
          </cell>
          <cell r="AB106" t="e">
            <v>#REF!</v>
          </cell>
          <cell r="AC106" t="e">
            <v>#REF!</v>
          </cell>
          <cell r="AD106" t="e">
            <v>#REF!</v>
          </cell>
          <cell r="AE106">
            <v>257.41269150581837</v>
          </cell>
          <cell r="AF106">
            <v>166.61080914380179</v>
          </cell>
          <cell r="AG106">
            <v>202.07436370859196</v>
          </cell>
          <cell r="AH106">
            <v>577.5588673884979</v>
          </cell>
          <cell r="AI106">
            <v>367.08218172257608</v>
          </cell>
          <cell r="AJ106">
            <v>346.06187568583243</v>
          </cell>
          <cell r="AK106">
            <v>117.1763798686485</v>
          </cell>
          <cell r="AL106">
            <v>-19.196601741356289</v>
          </cell>
          <cell r="AM106">
            <v>66.673193170564787</v>
          </cell>
          <cell r="AN106">
            <v>359.89872821879396</v>
          </cell>
          <cell r="AO106">
            <v>255.9316246498239</v>
          </cell>
          <cell r="AP106">
            <v>602.54650179418172</v>
          </cell>
          <cell r="AQ106">
            <v>58.97621889519823</v>
          </cell>
          <cell r="AR106">
            <v>4.2024513118980451</v>
          </cell>
          <cell r="AS106">
            <v>62.325618811352115</v>
          </cell>
          <cell r="AT106">
            <v>285.4498154572039</v>
          </cell>
          <cell r="AU106">
            <v>-97.822483091512424</v>
          </cell>
          <cell r="AV106">
            <v>186.83890835235161</v>
          </cell>
          <cell r="AW106">
            <v>440.19098742857636</v>
          </cell>
          <cell r="AX106">
            <v>-20.305402207574957</v>
          </cell>
          <cell r="AY106">
            <v>1085.5462213389999</v>
          </cell>
          <cell r="AZ106">
            <v>1291.8230363594898</v>
          </cell>
          <cell r="BA106">
            <v>1931.7075225593398</v>
          </cell>
          <cell r="BB106">
            <v>2584.2395197391197</v>
          </cell>
          <cell r="BC106">
            <v>2832.4789123334403</v>
          </cell>
          <cell r="BD106">
            <v>3136.4942005544408</v>
          </cell>
          <cell r="BE106">
            <v>3557.48858624166</v>
          </cell>
          <cell r="BF106">
            <v>3603.8563772046491</v>
          </cell>
          <cell r="BG106">
            <v>4187.8508785636486</v>
          </cell>
          <cell r="BH106">
            <v>424.02350064962013</v>
          </cell>
          <cell r="BI106">
            <v>626.09786435821229</v>
          </cell>
          <cell r="BJ106">
            <v>1203.6567317467102</v>
          </cell>
          <cell r="BK106">
            <v>1570.7389134692862</v>
          </cell>
          <cell r="BL106">
            <v>1916.8007891551183</v>
          </cell>
          <cell r="BM106">
            <v>1883.9771690237671</v>
          </cell>
          <cell r="BN106">
            <v>2014.7805672824104</v>
          </cell>
          <cell r="BO106">
            <v>2081.4537604529751</v>
          </cell>
          <cell r="BP106">
            <v>2441.3524886717692</v>
          </cell>
          <cell r="BQ106">
            <v>661.52272068937975</v>
          </cell>
          <cell r="BR106">
            <v>665.72517200127766</v>
          </cell>
          <cell r="BS106">
            <v>728.05079081262954</v>
          </cell>
          <cell r="BT106">
            <v>1013.5006062698337</v>
          </cell>
          <cell r="BU106">
            <v>915.67812317832113</v>
          </cell>
          <cell r="BV106">
            <v>1252.5170315306732</v>
          </cell>
          <cell r="BW106">
            <v>1542.7080189592496</v>
          </cell>
          <cell r="BX106">
            <v>1522.402616751674</v>
          </cell>
          <cell r="BY106">
            <v>1746.4983898918795</v>
          </cell>
          <cell r="BZ106">
            <v>243.755</v>
          </cell>
          <cell r="CA106">
            <v>-104.41860000000003</v>
          </cell>
          <cell r="CB106">
            <v>186.23699999999997</v>
          </cell>
          <cell r="CC106">
            <v>1291.8230363594898</v>
          </cell>
          <cell r="CD106">
            <v>325.57339999999999</v>
          </cell>
          <cell r="CE106">
            <v>966.24963635948984</v>
          </cell>
          <cell r="CF106">
            <v>296.78396219085766</v>
          </cell>
        </row>
        <row r="107">
          <cell r="L107" t="e">
            <v>#REF!</v>
          </cell>
          <cell r="M107" t="e">
            <v>#REF!</v>
          </cell>
          <cell r="N107" t="e">
            <v>#REF!</v>
          </cell>
          <cell r="Q107">
            <v>462.70712472049001</v>
          </cell>
          <cell r="R107">
            <v>1088.91101183302</v>
          </cell>
          <cell r="S107">
            <v>927.42099089452995</v>
          </cell>
          <cell r="T107">
            <v>395.50859826532002</v>
          </cell>
          <cell r="U107">
            <v>828.39575822100005</v>
          </cell>
          <cell r="V107">
            <v>692.66227908200005</v>
          </cell>
          <cell r="W107">
            <v>559.36255331399991</v>
          </cell>
          <cell r="X107">
            <v>641.7194013589999</v>
          </cell>
          <cell r="Y107">
            <v>155.74210564399999</v>
          </cell>
          <cell r="Z107">
            <v>149.57612615999989</v>
          </cell>
          <cell r="AA107">
            <v>7196.4493439323596</v>
          </cell>
          <cell r="AB107" t="e">
            <v>#REF!</v>
          </cell>
          <cell r="AC107" t="e">
            <v>#REF!</v>
          </cell>
          <cell r="AD107" t="e">
            <v>#REF!</v>
          </cell>
          <cell r="AE107">
            <v>396.71800000000002</v>
          </cell>
          <cell r="AF107">
            <v>230.15110914380179</v>
          </cell>
          <cell r="AG107">
            <v>437.34327619978995</v>
          </cell>
          <cell r="AH107">
            <v>997.21158021495796</v>
          </cell>
          <cell r="AI107">
            <v>670.7728257158501</v>
          </cell>
          <cell r="AJ107">
            <v>511.91857889883244</v>
          </cell>
          <cell r="AK107">
            <v>714.08966999580252</v>
          </cell>
          <cell r="AL107">
            <v>520.34018775564368</v>
          </cell>
          <cell r="AM107">
            <v>647.75248287969373</v>
          </cell>
          <cell r="AN107">
            <v>405.01155945365394</v>
          </cell>
          <cell r="AO107">
            <v>322.060455079473</v>
          </cell>
          <cell r="AP107">
            <v>617.52199999999993</v>
          </cell>
          <cell r="AQ107">
            <v>50.052285295198232</v>
          </cell>
          <cell r="AR107">
            <v>25.36384852070006</v>
          </cell>
          <cell r="AS107">
            <v>91.699431618062022</v>
          </cell>
          <cell r="AT107">
            <v>256.64816517867985</v>
          </cell>
          <cell r="AU107">
            <v>-116.40998063351242</v>
          </cell>
          <cell r="AV107">
            <v>114.30608822519753</v>
          </cell>
          <cell r="AW107">
            <v>172.32209132635637</v>
          </cell>
          <cell r="AX107">
            <v>-88.389929565693819</v>
          </cell>
          <cell r="AY107">
            <v>1294.4433944389998</v>
          </cell>
          <cell r="AZ107">
            <v>1757.1505191594899</v>
          </cell>
          <cell r="BA107">
            <v>2846.0615309925097</v>
          </cell>
          <cell r="BB107">
            <v>3773.4825218870396</v>
          </cell>
          <cell r="BC107">
            <v>4168.9911201523601</v>
          </cell>
          <cell r="BD107">
            <v>4997.3868783733606</v>
          </cell>
          <cell r="BE107">
            <v>5690.0491574553598</v>
          </cell>
          <cell r="BF107">
            <v>6249.4117107693592</v>
          </cell>
          <cell r="BG107">
            <v>6891.1311121283588</v>
          </cell>
          <cell r="BH107">
            <v>626.86910914380178</v>
          </cell>
          <cell r="BI107">
            <v>1064.2123853435919</v>
          </cell>
          <cell r="BJ107">
            <v>2061.4239655585498</v>
          </cell>
          <cell r="BK107">
            <v>2732.1967912743999</v>
          </cell>
          <cell r="BL107">
            <v>3244.1153701732319</v>
          </cell>
          <cell r="BM107">
            <v>3958.2050401690349</v>
          </cell>
          <cell r="BN107">
            <v>4478.5452279246783</v>
          </cell>
          <cell r="BO107">
            <v>5126.2977108043724</v>
          </cell>
          <cell r="BP107">
            <v>5531.3092702580261</v>
          </cell>
          <cell r="BQ107">
            <v>667.57428529519814</v>
          </cell>
          <cell r="BR107">
            <v>692.93813381589803</v>
          </cell>
          <cell r="BS107">
            <v>784.63756543395994</v>
          </cell>
          <cell r="BT107">
            <v>1041.28573061264</v>
          </cell>
          <cell r="BU107">
            <v>924.87574997912748</v>
          </cell>
          <cell r="BV107">
            <v>1039.1818382043252</v>
          </cell>
          <cell r="BW107">
            <v>1211.5039295306815</v>
          </cell>
          <cell r="BX107">
            <v>1123.1139999649868</v>
          </cell>
          <cell r="BY107">
            <v>1359.8218418703327</v>
          </cell>
          <cell r="BZ107">
            <v>300.08199999999999</v>
          </cell>
          <cell r="CA107">
            <v>281.39999999999998</v>
          </cell>
          <cell r="CB107">
            <v>394.53199999999998</v>
          </cell>
          <cell r="CC107">
            <v>1757.1505191594899</v>
          </cell>
          <cell r="CD107">
            <v>976.01400000000001</v>
          </cell>
          <cell r="CE107">
            <v>781.13651915948992</v>
          </cell>
          <cell r="CF107">
            <v>80.033331402980906</v>
          </cell>
        </row>
        <row r="108">
          <cell r="L108">
            <v>5977.6461322326977</v>
          </cell>
          <cell r="M108">
            <v>0</v>
          </cell>
          <cell r="N108">
            <v>5977.6461322326977</v>
          </cell>
          <cell r="Q108">
            <v>462.70712472049001</v>
          </cell>
          <cell r="R108">
            <v>1088.91101183302</v>
          </cell>
          <cell r="S108">
            <v>718.84242761753001</v>
          </cell>
          <cell r="T108">
            <v>393.189057263</v>
          </cell>
          <cell r="U108">
            <v>743.365338221</v>
          </cell>
          <cell r="V108">
            <v>625.69829108200008</v>
          </cell>
          <cell r="W108">
            <v>551.82264131399995</v>
          </cell>
          <cell r="X108">
            <v>635.25968435899995</v>
          </cell>
          <cell r="Y108">
            <v>150.814092644</v>
          </cell>
          <cell r="Z108">
            <v>148.83265815999988</v>
          </cell>
          <cell r="AA108">
            <v>6783.8857216530396</v>
          </cell>
          <cell r="AB108">
            <v>5.5546136963832682</v>
          </cell>
          <cell r="AC108" t="str">
            <v xml:space="preserve"> </v>
          </cell>
          <cell r="AD108">
            <v>5.5546136963832682</v>
          </cell>
          <cell r="AE108">
            <v>366.71800000000002</v>
          </cell>
          <cell r="AF108">
            <v>230.15110914380179</v>
          </cell>
          <cell r="AG108">
            <v>437.34327619978995</v>
          </cell>
          <cell r="AH108">
            <v>997.21158021495796</v>
          </cell>
          <cell r="AI108">
            <v>608.76358658717902</v>
          </cell>
          <cell r="AJ108">
            <v>363.30695944018055</v>
          </cell>
          <cell r="AK108">
            <v>639.43524439606597</v>
          </cell>
          <cell r="AL108">
            <v>422.03017174382603</v>
          </cell>
          <cell r="AM108">
            <v>643.60206961169797</v>
          </cell>
          <cell r="AN108">
            <v>371.73436399999997</v>
          </cell>
          <cell r="AO108">
            <v>317.07336399999997</v>
          </cell>
          <cell r="AP108">
            <v>617.52199999999993</v>
          </cell>
          <cell r="AQ108">
            <v>50.052285295198232</v>
          </cell>
          <cell r="AR108">
            <v>25.36384852070006</v>
          </cell>
          <cell r="AS108">
            <v>91.699431618062022</v>
          </cell>
          <cell r="AT108">
            <v>110.07884103035099</v>
          </cell>
          <cell r="AU108">
            <v>29.882097822819446</v>
          </cell>
          <cell r="AV108">
            <v>103.93009382493403</v>
          </cell>
          <cell r="AW108">
            <v>203.66811933817405</v>
          </cell>
          <cell r="AX108">
            <v>-91.779428297698018</v>
          </cell>
          <cell r="AY108">
            <v>1264.4433944389998</v>
          </cell>
          <cell r="AZ108">
            <v>1727.1505191594899</v>
          </cell>
          <cell r="BA108">
            <v>2816.0615309925097</v>
          </cell>
          <cell r="BB108">
            <v>3534.9039586100398</v>
          </cell>
          <cell r="BC108">
            <v>3928.0930158730398</v>
          </cell>
          <cell r="BD108">
            <v>4671.4583540940403</v>
          </cell>
          <cell r="BE108">
            <v>5297.15664517604</v>
          </cell>
          <cell r="BF108">
            <v>5848.9792864900392</v>
          </cell>
          <cell r="BG108">
            <v>6484.2389708490391</v>
          </cell>
          <cell r="BH108">
            <v>596.86910914380178</v>
          </cell>
          <cell r="BI108">
            <v>1034.2123853435919</v>
          </cell>
          <cell r="BJ108">
            <v>2031.4239655585498</v>
          </cell>
          <cell r="BK108">
            <v>2640.1875521457287</v>
          </cell>
          <cell r="BL108">
            <v>3003.4945115859091</v>
          </cell>
          <cell r="BM108">
            <v>3642.9297559819752</v>
          </cell>
          <cell r="BN108">
            <v>4064.9599277258012</v>
          </cell>
          <cell r="BO108">
            <v>4708.5619973374996</v>
          </cell>
          <cell r="BP108">
            <v>5080.2963613374995</v>
          </cell>
          <cell r="BQ108">
            <v>667.57428529519814</v>
          </cell>
          <cell r="BR108">
            <v>692.93813381589803</v>
          </cell>
          <cell r="BS108">
            <v>784.63756543395994</v>
          </cell>
          <cell r="BT108">
            <v>894.71640646431115</v>
          </cell>
          <cell r="BU108">
            <v>924.59850428713048</v>
          </cell>
          <cell r="BV108">
            <v>1028.5285981120646</v>
          </cell>
          <cell r="BW108">
            <v>1232.1967174502388</v>
          </cell>
          <cell r="BX108">
            <v>1140.4172891525395</v>
          </cell>
          <cell r="BY108">
            <v>1403.9426095115396</v>
          </cell>
          <cell r="BZ108">
            <v>300.08199999999999</v>
          </cell>
          <cell r="CA108">
            <v>281.39999999999998</v>
          </cell>
          <cell r="CB108">
            <v>341.089</v>
          </cell>
          <cell r="CC108">
            <v>1727.1505191594899</v>
          </cell>
          <cell r="CD108">
            <v>922.57100000000003</v>
          </cell>
          <cell r="CE108">
            <v>804.57951915948991</v>
          </cell>
          <cell r="CF108">
            <v>87.210579907615767</v>
          </cell>
        </row>
        <row r="109">
          <cell r="L109">
            <v>1800.2401520390001</v>
          </cell>
          <cell r="N109">
            <v>1800.2401520390001</v>
          </cell>
          <cell r="Q109">
            <v>132.15</v>
          </cell>
          <cell r="R109">
            <v>374.5</v>
          </cell>
          <cell r="S109">
            <v>159.91300000000001</v>
          </cell>
          <cell r="T109">
            <v>44.726067593000003</v>
          </cell>
          <cell r="U109">
            <v>98.430521941999999</v>
          </cell>
          <cell r="V109">
            <v>91.8</v>
          </cell>
          <cell r="W109">
            <v>330.7</v>
          </cell>
          <cell r="X109">
            <v>107.436361198</v>
          </cell>
          <cell r="Y109">
            <v>60.815374818999999</v>
          </cell>
          <cell r="Z109">
            <v>79.538499999999999</v>
          </cell>
          <cell r="AA109">
            <v>2046.2419775909998</v>
          </cell>
          <cell r="AB109">
            <v>1.6728388372431113</v>
          </cell>
          <cell r="AC109" t="str">
            <v xml:space="preserve"> </v>
          </cell>
          <cell r="AD109">
            <v>1.6728388372431113</v>
          </cell>
          <cell r="AE109">
            <v>116.718</v>
          </cell>
          <cell r="AF109">
            <v>76.635999999999996</v>
          </cell>
          <cell r="AG109">
            <v>129.99199999999999</v>
          </cell>
          <cell r="AH109">
            <v>266.02800000000002</v>
          </cell>
          <cell r="AI109">
            <v>151.977</v>
          </cell>
          <cell r="AJ109">
            <v>62.365000000000002</v>
          </cell>
          <cell r="AK109">
            <v>92.058999999999997</v>
          </cell>
          <cell r="AL109">
            <v>85.102000000000004</v>
          </cell>
          <cell r="AM109">
            <v>296.23500000000001</v>
          </cell>
          <cell r="AN109">
            <v>50</v>
          </cell>
          <cell r="AO109">
            <v>50</v>
          </cell>
          <cell r="AP109">
            <v>370.13199999999995</v>
          </cell>
          <cell r="AQ109">
            <v>2.7461520390000089</v>
          </cell>
          <cell r="AR109">
            <v>2.1580000000000155</v>
          </cell>
          <cell r="AS109">
            <v>108.47199999999998</v>
          </cell>
          <cell r="AT109">
            <v>7.936000000000007</v>
          </cell>
          <cell r="AU109">
            <v>-17.638932406999999</v>
          </cell>
          <cell r="AV109">
            <v>6.3715219420000011</v>
          </cell>
          <cell r="AW109">
            <v>6.6979999999999933</v>
          </cell>
          <cell r="AX109">
            <v>34.464999999999975</v>
          </cell>
          <cell r="AY109">
            <v>566.23215203899997</v>
          </cell>
          <cell r="AZ109">
            <v>698.38215203899995</v>
          </cell>
          <cell r="BA109">
            <v>1072.8821520389999</v>
          </cell>
          <cell r="BB109">
            <v>1232.795152039</v>
          </cell>
          <cell r="BC109">
            <v>1277.5212196319999</v>
          </cell>
          <cell r="BD109">
            <v>1375.9517415739999</v>
          </cell>
          <cell r="BE109">
            <v>1467.7517415739999</v>
          </cell>
          <cell r="BF109">
            <v>1798.4517415739999</v>
          </cell>
          <cell r="BG109">
            <v>1905.8881027719999</v>
          </cell>
          <cell r="BH109">
            <v>193.35399999999998</v>
          </cell>
          <cell r="BI109">
            <v>323.346</v>
          </cell>
          <cell r="BJ109">
            <v>589.37400000000002</v>
          </cell>
          <cell r="BK109">
            <v>741.351</v>
          </cell>
          <cell r="BL109">
            <v>803.71600000000001</v>
          </cell>
          <cell r="BM109">
            <v>895.77499999999998</v>
          </cell>
          <cell r="BN109">
            <v>980.87699999999995</v>
          </cell>
          <cell r="BO109">
            <v>1277.1120000000001</v>
          </cell>
          <cell r="BP109">
            <v>1327.1120000000001</v>
          </cell>
          <cell r="BQ109">
            <v>372.87815203899999</v>
          </cell>
          <cell r="BR109">
            <v>375.03615203899994</v>
          </cell>
          <cell r="BS109">
            <v>483.50815203899992</v>
          </cell>
          <cell r="BT109">
            <v>491.44415203899996</v>
          </cell>
          <cell r="BU109">
            <v>473.80521963199988</v>
          </cell>
          <cell r="BV109">
            <v>480.17674157399995</v>
          </cell>
          <cell r="BW109">
            <v>486.87474157399993</v>
          </cell>
          <cell r="BX109">
            <v>521.33974157399985</v>
          </cell>
          <cell r="BY109">
            <v>578.77610277199983</v>
          </cell>
          <cell r="BZ109">
            <v>196.523</v>
          </cell>
          <cell r="CA109">
            <v>207.4</v>
          </cell>
          <cell r="CB109">
            <v>202.44</v>
          </cell>
          <cell r="CC109">
            <v>698.38215203899995</v>
          </cell>
          <cell r="CD109">
            <v>606.36300000000006</v>
          </cell>
          <cell r="CE109">
            <v>92.019152038999891</v>
          </cell>
          <cell r="CF109">
            <v>15.175588226689275</v>
          </cell>
        </row>
        <row r="110">
          <cell r="L110">
            <v>1999.9646399999999</v>
          </cell>
          <cell r="N110">
            <v>1999.9646399999999</v>
          </cell>
          <cell r="Q110">
            <v>126.04443754799999</v>
          </cell>
          <cell r="R110">
            <v>445.03289853799998</v>
          </cell>
          <cell r="S110">
            <v>346.61981351199995</v>
          </cell>
          <cell r="T110">
            <v>219.998784503</v>
          </cell>
          <cell r="U110">
            <v>247.522541058</v>
          </cell>
          <cell r="V110">
            <v>279.08910039599999</v>
          </cell>
          <cell r="W110">
            <v>221.12264131399999</v>
          </cell>
          <cell r="X110">
            <v>527.82332316099996</v>
          </cell>
          <cell r="Y110">
            <v>89.998717825</v>
          </cell>
          <cell r="Z110">
            <v>69.294158159999895</v>
          </cell>
          <cell r="AA110">
            <v>2863.2583826419991</v>
          </cell>
          <cell r="AB110">
            <v>1.8584290096605172</v>
          </cell>
          <cell r="AC110" t="str">
            <v xml:space="preserve"> </v>
          </cell>
          <cell r="AD110">
            <v>1.8584290096605172</v>
          </cell>
          <cell r="AE110">
            <v>100</v>
          </cell>
          <cell r="AF110">
            <v>91.8</v>
          </cell>
          <cell r="AG110">
            <v>151.38036399999999</v>
          </cell>
          <cell r="AH110">
            <v>271.54036400000001</v>
          </cell>
          <cell r="AI110">
            <v>160.82836400000002</v>
          </cell>
          <cell r="AJ110">
            <v>121.27336400000002</v>
          </cell>
          <cell r="AK110">
            <v>162.04036400000001</v>
          </cell>
          <cell r="AL110">
            <v>109.50136400000001</v>
          </cell>
          <cell r="AM110">
            <v>105.72936399999998</v>
          </cell>
          <cell r="AN110">
            <v>113.53436399999998</v>
          </cell>
          <cell r="AO110">
            <v>110.973364</v>
          </cell>
          <cell r="AP110">
            <v>129.59</v>
          </cell>
          <cell r="AQ110">
            <v>-30.678033372999998</v>
          </cell>
          <cell r="AR110">
            <v>-25.335926451999995</v>
          </cell>
          <cell r="AS110">
            <v>173.49253453799997</v>
          </cell>
          <cell r="AT110">
            <v>185.79144951199993</v>
          </cell>
          <cell r="AU110">
            <v>98.725420502999981</v>
          </cell>
          <cell r="AV110">
            <v>85.482177057999991</v>
          </cell>
          <cell r="AW110">
            <v>169.58773639599997</v>
          </cell>
          <cell r="AX110">
            <v>115.39327731400002</v>
          </cell>
          <cell r="AY110">
            <v>290.71196662699998</v>
          </cell>
          <cell r="AZ110">
            <v>416.75640417499994</v>
          </cell>
          <cell r="BA110">
            <v>861.78930271299987</v>
          </cell>
          <cell r="BB110">
            <v>1208.4091162249997</v>
          </cell>
          <cell r="BC110">
            <v>1428.4079007279997</v>
          </cell>
          <cell r="BD110">
            <v>1675.9304417859998</v>
          </cell>
          <cell r="BE110">
            <v>1955.0195421819999</v>
          </cell>
          <cell r="BF110">
            <v>2176.1421834959997</v>
          </cell>
          <cell r="BG110">
            <v>2703.9655066569994</v>
          </cell>
          <cell r="BH110">
            <v>191.8</v>
          </cell>
          <cell r="BI110">
            <v>343.180364</v>
          </cell>
          <cell r="BJ110">
            <v>614.72072800000001</v>
          </cell>
          <cell r="BK110">
            <v>775.54909199999997</v>
          </cell>
          <cell r="BL110">
            <v>896.82245599999999</v>
          </cell>
          <cell r="BM110">
            <v>1058.8628200000001</v>
          </cell>
          <cell r="BN110">
            <v>1168.364184</v>
          </cell>
          <cell r="BO110">
            <v>1274.0935480000001</v>
          </cell>
          <cell r="BP110">
            <v>1387.6279119999999</v>
          </cell>
          <cell r="BQ110">
            <v>98.91196662699997</v>
          </cell>
          <cell r="BR110">
            <v>73.576040174999946</v>
          </cell>
          <cell r="BS110">
            <v>247.06857471299986</v>
          </cell>
          <cell r="BT110">
            <v>432.86002422499973</v>
          </cell>
          <cell r="BU110">
            <v>531.58544472799974</v>
          </cell>
          <cell r="BV110">
            <v>617.06762178599979</v>
          </cell>
          <cell r="BW110">
            <v>786.65535818199987</v>
          </cell>
          <cell r="BX110">
            <v>902.04863549599963</v>
          </cell>
          <cell r="BY110">
            <v>1316.3375946569995</v>
          </cell>
          <cell r="BZ110">
            <v>15</v>
          </cell>
          <cell r="CA110">
            <v>5.4</v>
          </cell>
          <cell r="CB110">
            <v>0.54900000000000004</v>
          </cell>
          <cell r="CC110">
            <v>416.75640417499994</v>
          </cell>
          <cell r="CD110">
            <v>20.948999999999998</v>
          </cell>
          <cell r="CE110">
            <v>395.80740417499993</v>
          </cell>
          <cell r="CF110">
            <v>1889.3856707957418</v>
          </cell>
        </row>
        <row r="111">
          <cell r="L111">
            <v>1777.4413401936974</v>
          </cell>
          <cell r="N111">
            <v>1777.4413401936974</v>
          </cell>
          <cell r="Q111">
            <v>204.51268717249002</v>
          </cell>
          <cell r="R111">
            <v>269.37811329502</v>
          </cell>
          <cell r="S111">
            <v>212.30961410553002</v>
          </cell>
          <cell r="T111">
            <v>128.46420516699999</v>
          </cell>
          <cell r="U111">
            <v>397.41227522100002</v>
          </cell>
          <cell r="V111">
            <v>254.80919068600005</v>
          </cell>
          <cell r="W111">
            <v>0</v>
          </cell>
          <cell r="X111">
            <v>0</v>
          </cell>
          <cell r="Y111">
            <v>0</v>
          </cell>
          <cell r="Z111">
            <v>0</v>
          </cell>
          <cell r="AA111">
            <v>1874.3853614200402</v>
          </cell>
          <cell r="AB111">
            <v>1.6516534760263737</v>
          </cell>
          <cell r="AC111" t="str">
            <v xml:space="preserve"> </v>
          </cell>
          <cell r="AD111">
            <v>1.6516534760263737</v>
          </cell>
          <cell r="AE111">
            <v>150</v>
          </cell>
          <cell r="AF111">
            <v>61.715109143801804</v>
          </cell>
          <cell r="AG111">
            <v>155.97091219979001</v>
          </cell>
          <cell r="AH111">
            <v>159.64321621495799</v>
          </cell>
          <cell r="AI111">
            <v>195.95822258717899</v>
          </cell>
          <cell r="AJ111">
            <v>79.668595440180496</v>
          </cell>
          <cell r="AK111">
            <v>385.33588039606599</v>
          </cell>
          <cell r="AL111">
            <v>227.426807743826</v>
          </cell>
          <cell r="AM111">
            <v>141.63770561169801</v>
          </cell>
          <cell r="AN111">
            <v>108.2</v>
          </cell>
          <cell r="AO111">
            <v>56.1</v>
          </cell>
          <cell r="AP111">
            <v>117.80000000000001</v>
          </cell>
          <cell r="AQ111">
            <v>77.984166629198171</v>
          </cell>
          <cell r="AR111">
            <v>48.541774972700011</v>
          </cell>
          <cell r="AS111">
            <v>109.73489708006201</v>
          </cell>
          <cell r="AT111">
            <v>16.351391518351022</v>
          </cell>
          <cell r="AU111">
            <v>48.795609726819492</v>
          </cell>
          <cell r="AV111">
            <v>12.076394824934027</v>
          </cell>
          <cell r="AW111">
            <v>27.382382942174047</v>
          </cell>
          <cell r="AX111">
            <v>-141.63770561169801</v>
          </cell>
          <cell r="AY111">
            <v>407.49927577300002</v>
          </cell>
          <cell r="AZ111">
            <v>612.01196294549004</v>
          </cell>
          <cell r="BA111">
            <v>881.3900762405101</v>
          </cell>
          <cell r="BB111">
            <v>1093.6996903460401</v>
          </cell>
          <cell r="BC111">
            <v>1222.1638955130402</v>
          </cell>
          <cell r="BD111">
            <v>1619.5761707340403</v>
          </cell>
          <cell r="BE111">
            <v>1874.3853614200402</v>
          </cell>
          <cell r="BF111">
            <v>1874.3853614200402</v>
          </cell>
          <cell r="BG111">
            <v>1874.3853614200402</v>
          </cell>
          <cell r="BH111">
            <v>211.71510914380181</v>
          </cell>
          <cell r="BI111">
            <v>367.68602134359185</v>
          </cell>
          <cell r="BJ111">
            <v>527.32923755854983</v>
          </cell>
          <cell r="BK111">
            <v>723.2874601457288</v>
          </cell>
          <cell r="BL111">
            <v>802.95605558590933</v>
          </cell>
          <cell r="BM111">
            <v>1188.2919359819753</v>
          </cell>
          <cell r="BN111">
            <v>1415.7187437258012</v>
          </cell>
          <cell r="BO111">
            <v>1557.3564493374993</v>
          </cell>
          <cell r="BP111">
            <v>1665.5564493374993</v>
          </cell>
          <cell r="BQ111">
            <v>195.78416662919821</v>
          </cell>
          <cell r="BR111">
            <v>244.32594160189819</v>
          </cell>
          <cell r="BS111">
            <v>354.06083868196026</v>
          </cell>
          <cell r="BT111">
            <v>370.41223020031134</v>
          </cell>
          <cell r="BU111">
            <v>419.20783992713086</v>
          </cell>
          <cell r="BV111">
            <v>431.284234752065</v>
          </cell>
          <cell r="BW111">
            <v>458.66661769423899</v>
          </cell>
          <cell r="BX111">
            <v>317.02891208254096</v>
          </cell>
          <cell r="BY111">
            <v>208.82891208254091</v>
          </cell>
          <cell r="BZ111">
            <v>88.558999999999997</v>
          </cell>
          <cell r="CA111">
            <v>68.599999999999994</v>
          </cell>
          <cell r="CB111">
            <v>138.1</v>
          </cell>
          <cell r="CC111">
            <v>612.01196294549004</v>
          </cell>
          <cell r="CD111">
            <v>295.25900000000001</v>
          </cell>
          <cell r="CE111">
            <v>316.75296294549003</v>
          </cell>
          <cell r="CF111">
            <v>107.27969780616</v>
          </cell>
        </row>
        <row r="112">
          <cell r="L112">
            <v>400</v>
          </cell>
          <cell r="N112">
            <v>400</v>
          </cell>
          <cell r="Q112">
            <v>0</v>
          </cell>
          <cell r="R112">
            <v>0</v>
          </cell>
          <cell r="S112">
            <v>0</v>
          </cell>
          <cell r="T112">
            <v>0</v>
          </cell>
          <cell r="U112">
            <v>0</v>
          </cell>
          <cell r="V112">
            <v>0</v>
          </cell>
          <cell r="W112">
            <v>0</v>
          </cell>
          <cell r="X112">
            <v>0</v>
          </cell>
          <cell r="Y112">
            <v>0</v>
          </cell>
          <cell r="Z112">
            <v>0</v>
          </cell>
          <cell r="AA112">
            <v>0</v>
          </cell>
          <cell r="AB112">
            <v>0.37169237345326611</v>
          </cell>
          <cell r="AC112" t="str">
            <v xml:space="preserve"> </v>
          </cell>
          <cell r="AD112">
            <v>0.37169237345326611</v>
          </cell>
          <cell r="AE112">
            <v>0</v>
          </cell>
          <cell r="AF112">
            <v>0</v>
          </cell>
          <cell r="AG112">
            <v>0</v>
          </cell>
          <cell r="AH112">
            <v>300</v>
          </cell>
          <cell r="AI112">
            <v>100</v>
          </cell>
          <cell r="AJ112">
            <v>100</v>
          </cell>
          <cell r="AK112">
            <v>0</v>
          </cell>
          <cell r="AL112">
            <v>0</v>
          </cell>
          <cell r="AM112">
            <v>100</v>
          </cell>
          <cell r="AN112">
            <v>100</v>
          </cell>
          <cell r="AO112">
            <v>100</v>
          </cell>
          <cell r="AP112">
            <v>0</v>
          </cell>
          <cell r="AQ112">
            <v>0</v>
          </cell>
          <cell r="AR112">
            <v>0</v>
          </cell>
          <cell r="AS112">
            <v>-300</v>
          </cell>
          <cell r="AT112">
            <v>-100</v>
          </cell>
          <cell r="AU112">
            <v>-100</v>
          </cell>
          <cell r="AV112">
            <v>0</v>
          </cell>
          <cell r="AW112">
            <v>0</v>
          </cell>
          <cell r="AX112">
            <v>-100</v>
          </cell>
          <cell r="AY112">
            <v>0</v>
          </cell>
          <cell r="AZ112">
            <v>0</v>
          </cell>
          <cell r="BA112">
            <v>0</v>
          </cell>
          <cell r="BB112">
            <v>0</v>
          </cell>
          <cell r="BC112">
            <v>0</v>
          </cell>
          <cell r="BD112">
            <v>0</v>
          </cell>
          <cell r="BE112">
            <v>0</v>
          </cell>
          <cell r="BF112">
            <v>0</v>
          </cell>
          <cell r="BG112">
            <v>0</v>
          </cell>
          <cell r="BH112">
            <v>0</v>
          </cell>
          <cell r="BI112">
            <v>0</v>
          </cell>
          <cell r="BJ112">
            <v>300</v>
          </cell>
          <cell r="BK112">
            <v>400</v>
          </cell>
          <cell r="BL112">
            <v>500</v>
          </cell>
          <cell r="BM112">
            <v>500</v>
          </cell>
          <cell r="BN112">
            <v>500</v>
          </cell>
          <cell r="BO112">
            <v>600</v>
          </cell>
          <cell r="BP112">
            <v>700</v>
          </cell>
          <cell r="BQ112">
            <v>0</v>
          </cell>
          <cell r="BR112">
            <v>0</v>
          </cell>
          <cell r="BS112">
            <v>-300</v>
          </cell>
          <cell r="BT112">
            <v>-400</v>
          </cell>
          <cell r="BU112">
            <v>-500</v>
          </cell>
          <cell r="BV112">
            <v>-500</v>
          </cell>
          <cell r="BW112">
            <v>-500</v>
          </cell>
          <cell r="BX112">
            <v>-600</v>
          </cell>
          <cell r="BY112">
            <v>-700</v>
          </cell>
          <cell r="CC112">
            <v>0</v>
          </cell>
          <cell r="CD112">
            <v>0</v>
          </cell>
          <cell r="CE112">
            <v>0</v>
          </cell>
          <cell r="CF112" t="str">
            <v xml:space="preserve">n.a. </v>
          </cell>
        </row>
        <row r="113">
          <cell r="L113" t="e">
            <v>#REF!</v>
          </cell>
          <cell r="M113" t="e">
            <v>#REF!</v>
          </cell>
          <cell r="N113" t="e">
            <v>#REF!</v>
          </cell>
          <cell r="Q113">
            <v>0</v>
          </cell>
          <cell r="R113">
            <v>0</v>
          </cell>
          <cell r="S113">
            <v>208.57856327699997</v>
          </cell>
          <cell r="T113">
            <v>2.3195410023199998</v>
          </cell>
          <cell r="U113">
            <v>85.030420000000007</v>
          </cell>
          <cell r="V113">
            <v>66.963988000000001</v>
          </cell>
          <cell r="W113">
            <v>7.5399120000000002</v>
          </cell>
          <cell r="X113">
            <v>6.4597169999999995</v>
          </cell>
          <cell r="Y113">
            <v>4.9280130000000009</v>
          </cell>
          <cell r="Z113">
            <v>0.74346800000000002</v>
          </cell>
          <cell r="AA113">
            <v>412.56362227931999</v>
          </cell>
          <cell r="AB113" t="e">
            <v>#REF!</v>
          </cell>
          <cell r="AC113" t="e">
            <v>#REF!</v>
          </cell>
          <cell r="AD113" t="e">
            <v>#REF!</v>
          </cell>
          <cell r="AE113">
            <v>30</v>
          </cell>
          <cell r="AF113">
            <v>0</v>
          </cell>
          <cell r="AG113">
            <v>0</v>
          </cell>
          <cell r="AH113">
            <v>0</v>
          </cell>
          <cell r="AI113">
            <v>62.009239128671091</v>
          </cell>
          <cell r="AJ113">
            <v>148.61161945865189</v>
          </cell>
          <cell r="AK113">
            <v>74.654425599736498</v>
          </cell>
          <cell r="AL113">
            <v>98.310016011817709</v>
          </cell>
          <cell r="AM113">
            <v>4.1504132679958099</v>
          </cell>
          <cell r="AN113">
            <v>33.277195453654002</v>
          </cell>
          <cell r="AO113">
            <v>4.9870910794730197</v>
          </cell>
          <cell r="AP113">
            <v>0</v>
          </cell>
          <cell r="AQ113">
            <v>0</v>
          </cell>
          <cell r="AR113">
            <v>0</v>
          </cell>
          <cell r="AS113">
            <v>0</v>
          </cell>
          <cell r="AT113">
            <v>146.56932414832889</v>
          </cell>
          <cell r="AU113">
            <v>-146.29207845633189</v>
          </cell>
          <cell r="AV113">
            <v>10.375994400263508</v>
          </cell>
          <cell r="AW113">
            <v>-31.346028011817708</v>
          </cell>
          <cell r="AX113">
            <v>3.3894987320041903</v>
          </cell>
          <cell r="AY113">
            <v>30</v>
          </cell>
          <cell r="AZ113">
            <v>30</v>
          </cell>
          <cell r="BA113">
            <v>30</v>
          </cell>
          <cell r="BB113">
            <v>238.57856327699997</v>
          </cell>
          <cell r="BC113">
            <v>240.89810427931997</v>
          </cell>
          <cell r="BD113">
            <v>325.92852427931996</v>
          </cell>
          <cell r="BE113">
            <v>392.89251227931993</v>
          </cell>
          <cell r="BF113">
            <v>400.43242427931995</v>
          </cell>
          <cell r="BG113">
            <v>406.89214127931996</v>
          </cell>
          <cell r="BH113">
            <v>30</v>
          </cell>
          <cell r="BI113">
            <v>30</v>
          </cell>
          <cell r="BJ113">
            <v>30</v>
          </cell>
          <cell r="BK113">
            <v>92.009239128671084</v>
          </cell>
          <cell r="BL113">
            <v>240.62085858732297</v>
          </cell>
          <cell r="BM113">
            <v>315.27528418705947</v>
          </cell>
          <cell r="BN113">
            <v>413.58530019887718</v>
          </cell>
          <cell r="BO113">
            <v>417.73571346687299</v>
          </cell>
          <cell r="BP113">
            <v>451.01290892052702</v>
          </cell>
          <cell r="BQ113">
            <v>0</v>
          </cell>
          <cell r="BR113">
            <v>0</v>
          </cell>
          <cell r="BS113">
            <v>0</v>
          </cell>
          <cell r="BT113">
            <v>146.56932414832889</v>
          </cell>
          <cell r="BU113">
            <v>0.27724569199699545</v>
          </cell>
          <cell r="BV113">
            <v>10.653240092260489</v>
          </cell>
          <cell r="BW113">
            <v>-20.692787919557247</v>
          </cell>
          <cell r="BX113">
            <v>-17.303289187553048</v>
          </cell>
          <cell r="BY113">
            <v>-44.120767641207067</v>
          </cell>
          <cell r="BZ113">
            <v>0</v>
          </cell>
          <cell r="CA113">
            <v>0</v>
          </cell>
          <cell r="CB113">
            <v>53.442999999999998</v>
          </cell>
          <cell r="CC113">
            <v>30</v>
          </cell>
          <cell r="CD113">
            <v>53.442999999999998</v>
          </cell>
          <cell r="CE113">
            <v>-23.442999999999998</v>
          </cell>
          <cell r="CF113">
            <v>-43.865426716314573</v>
          </cell>
        </row>
        <row r="114">
          <cell r="H114" t="str">
            <v>Bonos de Seguridad</v>
          </cell>
          <cell r="L114">
            <v>426.00000000000006</v>
          </cell>
          <cell r="N114">
            <v>426.00000000000006</v>
          </cell>
          <cell r="O114">
            <v>0</v>
          </cell>
          <cell r="P114">
            <v>0</v>
          </cell>
          <cell r="Q114">
            <v>0</v>
          </cell>
          <cell r="R114">
            <v>0</v>
          </cell>
          <cell r="S114">
            <v>208.57856327699997</v>
          </cell>
          <cell r="T114">
            <v>2.3195410023199998</v>
          </cell>
          <cell r="U114">
            <v>85.030420000000007</v>
          </cell>
          <cell r="V114">
            <v>66.963988000000001</v>
          </cell>
          <cell r="W114">
            <v>7.5399120000000002</v>
          </cell>
          <cell r="X114">
            <v>6.4597169999999995</v>
          </cell>
          <cell r="Y114">
            <v>4.9280130000000009</v>
          </cell>
          <cell r="Z114">
            <v>0.74346800000000002</v>
          </cell>
          <cell r="AA114">
            <v>382.56362227931999</v>
          </cell>
          <cell r="AB114">
            <v>0.39585237772772847</v>
          </cell>
          <cell r="AC114" t="str">
            <v xml:space="preserve"> </v>
          </cell>
          <cell r="AD114">
            <v>0.39585237772772847</v>
          </cell>
          <cell r="AE114">
            <v>0</v>
          </cell>
          <cell r="AF114">
            <v>0</v>
          </cell>
          <cell r="AG114">
            <v>0</v>
          </cell>
          <cell r="AH114">
            <v>0</v>
          </cell>
          <cell r="AI114">
            <v>62.009239128671091</v>
          </cell>
          <cell r="AJ114">
            <v>148.61161945865189</v>
          </cell>
          <cell r="AK114">
            <v>74.654425599736498</v>
          </cell>
          <cell r="AL114">
            <v>98.310016011817709</v>
          </cell>
          <cell r="AM114">
            <v>4.1504132679958099</v>
          </cell>
          <cell r="AN114">
            <v>33.277195453654002</v>
          </cell>
          <cell r="AO114">
            <v>4.9870910794730197</v>
          </cell>
          <cell r="AP114">
            <v>0</v>
          </cell>
          <cell r="AQ114">
            <v>0</v>
          </cell>
          <cell r="AR114">
            <v>0</v>
          </cell>
          <cell r="AS114">
            <v>0</v>
          </cell>
          <cell r="AT114">
            <v>146.56932414832889</v>
          </cell>
          <cell r="AU114">
            <v>-146.29207845633189</v>
          </cell>
          <cell r="AV114">
            <v>10.375994400263508</v>
          </cell>
          <cell r="AW114">
            <v>-31.346028011817708</v>
          </cell>
          <cell r="AX114">
            <v>3.3894987320041903</v>
          </cell>
          <cell r="AY114">
            <v>0</v>
          </cell>
          <cell r="AZ114">
            <v>0</v>
          </cell>
          <cell r="BA114">
            <v>0</v>
          </cell>
          <cell r="BB114">
            <v>208.57856327699997</v>
          </cell>
          <cell r="BC114">
            <v>210.89810427931997</v>
          </cell>
          <cell r="BD114">
            <v>295.92852427931996</v>
          </cell>
          <cell r="BE114">
            <v>362.89251227931993</v>
          </cell>
          <cell r="BF114">
            <v>370.43242427931995</v>
          </cell>
          <cell r="BG114">
            <v>376.89214127931996</v>
          </cell>
          <cell r="BH114">
            <v>0</v>
          </cell>
          <cell r="BI114">
            <v>0</v>
          </cell>
          <cell r="BJ114">
            <v>0</v>
          </cell>
          <cell r="BK114">
            <v>62.009239128671091</v>
          </cell>
          <cell r="BL114">
            <v>210.62085858732297</v>
          </cell>
          <cell r="BM114">
            <v>285.27528418705947</v>
          </cell>
          <cell r="BN114">
            <v>383.58530019887718</v>
          </cell>
          <cell r="BO114">
            <v>387.73571346687299</v>
          </cell>
          <cell r="BP114">
            <v>421.01290892052702</v>
          </cell>
          <cell r="BQ114">
            <v>0</v>
          </cell>
          <cell r="BR114">
            <v>0</v>
          </cell>
          <cell r="BS114">
            <v>0</v>
          </cell>
          <cell r="BT114">
            <v>146.56932414832889</v>
          </cell>
          <cell r="BU114">
            <v>0.27724569199699545</v>
          </cell>
          <cell r="BV114">
            <v>10.653240092260489</v>
          </cell>
          <cell r="BW114">
            <v>-20.692787919557247</v>
          </cell>
          <cell r="BX114">
            <v>-17.303289187553048</v>
          </cell>
          <cell r="BY114">
            <v>-44.120767641207067</v>
          </cell>
          <cell r="BZ114">
            <v>0</v>
          </cell>
          <cell r="CC114">
            <v>0</v>
          </cell>
          <cell r="CD114">
            <v>0</v>
          </cell>
          <cell r="CE114">
            <v>0</v>
          </cell>
          <cell r="CF114" t="str">
            <v xml:space="preserve">n.a. </v>
          </cell>
        </row>
        <row r="115">
          <cell r="H115" t="str">
            <v>Fondo de Pensiones Caja Agraria</v>
          </cell>
          <cell r="M115">
            <v>48</v>
          </cell>
          <cell r="N115">
            <v>48</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t="str">
            <v xml:space="preserve"> </v>
          </cell>
          <cell r="AC115">
            <v>4.460308481439193E-2</v>
          </cell>
          <cell r="AD115">
            <v>4.460308481439193E-2</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53.442999999999998</v>
          </cell>
          <cell r="CC115">
            <v>0</v>
          </cell>
          <cell r="CD115">
            <v>53.442999999999998</v>
          </cell>
          <cell r="CE115">
            <v>-53.442999999999998</v>
          </cell>
          <cell r="CF115">
            <v>-100</v>
          </cell>
        </row>
        <row r="116">
          <cell r="H116" t="str">
            <v>Fondo de Solidaridad Agropecuario</v>
          </cell>
          <cell r="M116">
            <v>105</v>
          </cell>
          <cell r="N116">
            <v>105</v>
          </cell>
          <cell r="O116">
            <v>30</v>
          </cell>
          <cell r="P116">
            <v>0</v>
          </cell>
          <cell r="Q116">
            <v>0</v>
          </cell>
          <cell r="R116">
            <v>0</v>
          </cell>
          <cell r="S116">
            <v>0</v>
          </cell>
          <cell r="T116">
            <v>0</v>
          </cell>
          <cell r="U116">
            <v>0</v>
          </cell>
          <cell r="V116">
            <v>0</v>
          </cell>
          <cell r="W116">
            <v>0</v>
          </cell>
          <cell r="X116">
            <v>0</v>
          </cell>
          <cell r="Y116">
            <v>0</v>
          </cell>
          <cell r="Z116">
            <v>0</v>
          </cell>
          <cell r="AA116">
            <v>30</v>
          </cell>
          <cell r="AB116" t="str">
            <v xml:space="preserve"> </v>
          </cell>
          <cell r="AC116">
            <v>9.7569248031482342E-2</v>
          </cell>
          <cell r="AD116">
            <v>9.7569248031482342E-2</v>
          </cell>
          <cell r="AE116">
            <v>30</v>
          </cell>
          <cell r="AP116">
            <v>0</v>
          </cell>
          <cell r="AQ116">
            <v>0</v>
          </cell>
          <cell r="AR116">
            <v>0</v>
          </cell>
          <cell r="AS116">
            <v>0</v>
          </cell>
          <cell r="AT116">
            <v>0</v>
          </cell>
          <cell r="AU116">
            <v>0</v>
          </cell>
          <cell r="AV116">
            <v>0</v>
          </cell>
          <cell r="AW116">
            <v>0</v>
          </cell>
          <cell r="AX116">
            <v>0</v>
          </cell>
          <cell r="AY116">
            <v>30</v>
          </cell>
          <cell r="AZ116">
            <v>30</v>
          </cell>
          <cell r="BA116">
            <v>30</v>
          </cell>
          <cell r="BB116">
            <v>30</v>
          </cell>
          <cell r="BC116">
            <v>30</v>
          </cell>
          <cell r="BD116">
            <v>30</v>
          </cell>
          <cell r="BE116">
            <v>30</v>
          </cell>
          <cell r="BF116">
            <v>30</v>
          </cell>
          <cell r="BG116">
            <v>30</v>
          </cell>
          <cell r="BH116">
            <v>30</v>
          </cell>
          <cell r="BI116">
            <v>30</v>
          </cell>
          <cell r="BJ116">
            <v>30</v>
          </cell>
          <cell r="BK116">
            <v>30</v>
          </cell>
          <cell r="BL116">
            <v>30</v>
          </cell>
          <cell r="BM116">
            <v>30</v>
          </cell>
          <cell r="BN116">
            <v>30</v>
          </cell>
          <cell r="BO116">
            <v>30</v>
          </cell>
          <cell r="BP116">
            <v>30</v>
          </cell>
          <cell r="BQ116">
            <v>0</v>
          </cell>
          <cell r="BR116">
            <v>0</v>
          </cell>
          <cell r="BS116">
            <v>0</v>
          </cell>
          <cell r="BT116">
            <v>0</v>
          </cell>
          <cell r="BU116">
            <v>0</v>
          </cell>
          <cell r="BV116">
            <v>0</v>
          </cell>
          <cell r="BW116">
            <v>0</v>
          </cell>
          <cell r="BX116">
            <v>0</v>
          </cell>
          <cell r="BY116">
            <v>0</v>
          </cell>
          <cell r="CC116">
            <v>30</v>
          </cell>
          <cell r="CD116">
            <v>0</v>
          </cell>
          <cell r="CE116">
            <v>30</v>
          </cell>
          <cell r="CF116" t="str">
            <v xml:space="preserve">n.a. </v>
          </cell>
        </row>
        <row r="117">
          <cell r="L117">
            <v>3390.7645173871006</v>
          </cell>
          <cell r="M117">
            <v>48</v>
          </cell>
          <cell r="N117">
            <v>3438.7645173871006</v>
          </cell>
          <cell r="Q117">
            <v>256.43030970000001</v>
          </cell>
          <cell r="R117">
            <v>449.02652563316997</v>
          </cell>
          <cell r="S117">
            <v>274.88899371474997</v>
          </cell>
          <cell r="T117">
            <v>147.26920567100001</v>
          </cell>
          <cell r="U117">
            <v>524.38046999999995</v>
          </cell>
          <cell r="V117">
            <v>271.66789339477998</v>
          </cell>
          <cell r="W117">
            <v>512.99476235101008</v>
          </cell>
          <cell r="X117">
            <v>57.724899999999998</v>
          </cell>
          <cell r="Y117">
            <v>85.553600000000003</v>
          </cell>
          <cell r="Z117">
            <v>352.20499999999998</v>
          </cell>
          <cell r="AA117">
            <v>3141.0388335647103</v>
          </cell>
          <cell r="AB117">
            <v>3.150803278221824</v>
          </cell>
          <cell r="AC117">
            <v>4.460308481439193E-2</v>
          </cell>
          <cell r="AD117">
            <v>3.1954063630362164</v>
          </cell>
          <cell r="AE117">
            <v>139.30530849418165</v>
          </cell>
          <cell r="AF117">
            <v>63.540300000000002</v>
          </cell>
          <cell r="AG117">
            <v>235.26891249119799</v>
          </cell>
          <cell r="AH117">
            <v>419.65271282646</v>
          </cell>
          <cell r="AI117">
            <v>303.69064399327402</v>
          </cell>
          <cell r="AJ117">
            <v>165.856703213</v>
          </cell>
          <cell r="AK117">
            <v>596.91329012715403</v>
          </cell>
          <cell r="AL117">
            <v>539.53678949699997</v>
          </cell>
          <cell r="AM117">
            <v>581.07928970912894</v>
          </cell>
          <cell r="AN117">
            <v>45.112831234860003</v>
          </cell>
          <cell r="AO117">
            <v>66.128830429649099</v>
          </cell>
          <cell r="AP117">
            <v>14.975498205818354</v>
          </cell>
          <cell r="AQ117">
            <v>-8.9239336000000051</v>
          </cell>
          <cell r="AR117">
            <v>21.161397208802015</v>
          </cell>
          <cell r="AS117">
            <v>29.373812806709964</v>
          </cell>
          <cell r="AT117">
            <v>-28.80165027852405</v>
          </cell>
          <cell r="AU117">
            <v>-18.587497541999994</v>
          </cell>
          <cell r="AV117">
            <v>-72.532820127154082</v>
          </cell>
          <cell r="AW117">
            <v>-267.86889610221999</v>
          </cell>
          <cell r="AX117">
            <v>-68.084527358118862</v>
          </cell>
          <cell r="AY117">
            <v>208.8971731</v>
          </cell>
          <cell r="AZ117">
            <v>465.32748279999998</v>
          </cell>
          <cell r="BA117">
            <v>914.35400843316995</v>
          </cell>
          <cell r="BB117">
            <v>1189.2430021479199</v>
          </cell>
          <cell r="BC117">
            <v>1336.5122078189199</v>
          </cell>
          <cell r="BD117">
            <v>1860.8926778189198</v>
          </cell>
          <cell r="BE117">
            <v>2132.5605712136999</v>
          </cell>
          <cell r="BF117">
            <v>2645.5553335647101</v>
          </cell>
          <cell r="BG117">
            <v>2703.2802335647102</v>
          </cell>
          <cell r="BH117">
            <v>202.84560849418165</v>
          </cell>
          <cell r="BI117">
            <v>438.11452098537961</v>
          </cell>
          <cell r="BJ117">
            <v>857.76723381183956</v>
          </cell>
          <cell r="BK117">
            <v>1161.4578778051136</v>
          </cell>
          <cell r="BL117">
            <v>1327.3145810181136</v>
          </cell>
          <cell r="BM117">
            <v>2074.2278711452677</v>
          </cell>
          <cell r="BN117">
            <v>2463.7646606422677</v>
          </cell>
          <cell r="BO117">
            <v>3044.8439503513964</v>
          </cell>
          <cell r="BP117">
            <v>3089.9567815862565</v>
          </cell>
          <cell r="BQ117">
            <v>6.0515646058183563</v>
          </cell>
          <cell r="BR117">
            <v>27.212961814620371</v>
          </cell>
          <cell r="BS117">
            <v>56.586774621330392</v>
          </cell>
          <cell r="BT117">
            <v>27.785124342806284</v>
          </cell>
          <cell r="BU117">
            <v>9.1976268008063471</v>
          </cell>
          <cell r="BV117">
            <v>-213.33519332634796</v>
          </cell>
          <cell r="BW117">
            <v>-331.20408942856784</v>
          </cell>
          <cell r="BX117">
            <v>-399.28861678668636</v>
          </cell>
          <cell r="BY117">
            <v>-386.6765480215463</v>
          </cell>
          <cell r="BZ117">
            <v>56.326999999999998</v>
          </cell>
          <cell r="CA117">
            <v>385.8186</v>
          </cell>
          <cell r="CB117">
            <v>208.29500000000002</v>
          </cell>
          <cell r="CC117">
            <v>465.32748279999998</v>
          </cell>
          <cell r="CD117">
            <v>650.44060000000002</v>
          </cell>
          <cell r="CE117">
            <v>-185.11311720000003</v>
          </cell>
          <cell r="CF117">
            <v>-28.459649843506085</v>
          </cell>
        </row>
        <row r="118">
          <cell r="G118" t="str">
            <v>TESORERIA TES B</v>
          </cell>
          <cell r="L118">
            <v>3111.1993576444547</v>
          </cell>
          <cell r="N118">
            <v>3111.1993576444547</v>
          </cell>
          <cell r="O118">
            <v>154.2808067</v>
          </cell>
          <cell r="P118">
            <v>54.616366399999997</v>
          </cell>
          <cell r="Q118">
            <v>256.43030970000001</v>
          </cell>
          <cell r="R118">
            <v>449.02652563316997</v>
          </cell>
          <cell r="S118">
            <v>274.88899371474997</v>
          </cell>
          <cell r="T118">
            <v>147.26920567100001</v>
          </cell>
          <cell r="U118">
            <v>524.38046999999995</v>
          </cell>
          <cell r="V118">
            <v>271.66789339477998</v>
          </cell>
          <cell r="W118">
            <v>512.99476235101008</v>
          </cell>
          <cell r="X118">
            <v>57.724899999999998</v>
          </cell>
          <cell r="Y118">
            <v>85.553600000000003</v>
          </cell>
          <cell r="Z118">
            <v>352.20499999999998</v>
          </cell>
          <cell r="AA118">
            <v>3141.0388335647103</v>
          </cell>
          <cell r="AB118">
            <v>2.8910226838228605</v>
          </cell>
          <cell r="AC118" t="str">
            <v xml:space="preserve"> </v>
          </cell>
          <cell r="AD118">
            <v>2.8910226838228605</v>
          </cell>
          <cell r="AE118">
            <v>139.30530849418165</v>
          </cell>
          <cell r="AF118">
            <v>63.540300000000002</v>
          </cell>
          <cell r="AG118">
            <v>235.26891249119799</v>
          </cell>
          <cell r="AH118">
            <v>419.65271282646</v>
          </cell>
          <cell r="AI118">
            <v>303.69064399327402</v>
          </cell>
          <cell r="AJ118">
            <v>165.856703213</v>
          </cell>
          <cell r="AK118">
            <v>446.91329012715403</v>
          </cell>
          <cell r="AL118">
            <v>439.53678949699997</v>
          </cell>
          <cell r="AM118">
            <v>581.07928970912894</v>
          </cell>
          <cell r="AN118">
            <v>45.112831234860003</v>
          </cell>
          <cell r="AO118">
            <v>66.128830429649099</v>
          </cell>
          <cell r="AP118">
            <v>14.975498205818354</v>
          </cell>
          <cell r="AQ118">
            <v>-8.9239336000000051</v>
          </cell>
          <cell r="AR118">
            <v>21.161397208802015</v>
          </cell>
          <cell r="AS118">
            <v>29.373812806709964</v>
          </cell>
          <cell r="AT118">
            <v>-28.80165027852405</v>
          </cell>
          <cell r="AU118">
            <v>-18.587497541999994</v>
          </cell>
          <cell r="AV118">
            <v>77.467179872845918</v>
          </cell>
          <cell r="AW118">
            <v>-167.86889610221999</v>
          </cell>
          <cell r="AX118">
            <v>-68.084527358118862</v>
          </cell>
          <cell r="AY118">
            <v>208.8971731</v>
          </cell>
          <cell r="AZ118">
            <v>465.32748279999998</v>
          </cell>
          <cell r="BA118">
            <v>914.35400843316995</v>
          </cell>
          <cell r="BB118">
            <v>1189.2430021479199</v>
          </cell>
          <cell r="BC118">
            <v>1336.5122078189199</v>
          </cell>
          <cell r="BD118">
            <v>1860.8926778189198</v>
          </cell>
          <cell r="BE118">
            <v>2132.5605712136999</v>
          </cell>
          <cell r="BF118">
            <v>2645.5553335647101</v>
          </cell>
          <cell r="BG118">
            <v>2703.2802335647102</v>
          </cell>
          <cell r="BH118">
            <v>202.84560849418165</v>
          </cell>
          <cell r="BI118">
            <v>438.11452098537961</v>
          </cell>
          <cell r="BJ118">
            <v>857.76723381183956</v>
          </cell>
          <cell r="BK118">
            <v>1161.4578778051136</v>
          </cell>
          <cell r="BL118">
            <v>1327.3145810181136</v>
          </cell>
          <cell r="BM118">
            <v>1774.2278711452677</v>
          </cell>
          <cell r="BN118">
            <v>2213.7646606422677</v>
          </cell>
          <cell r="BO118">
            <v>2794.8439503513964</v>
          </cell>
          <cell r="BP118">
            <v>2839.9567815862565</v>
          </cell>
          <cell r="BQ118">
            <v>6.0515646058183563</v>
          </cell>
          <cell r="BR118">
            <v>27.212961814620371</v>
          </cell>
          <cell r="BS118">
            <v>56.586774621330392</v>
          </cell>
          <cell r="BT118">
            <v>27.785124342806284</v>
          </cell>
          <cell r="BU118">
            <v>9.1976268008063471</v>
          </cell>
          <cell r="BV118">
            <v>86.664806673652038</v>
          </cell>
          <cell r="BW118">
            <v>-81.204089428567841</v>
          </cell>
          <cell r="BX118">
            <v>-149.28861678668636</v>
          </cell>
          <cell r="BY118">
            <v>-136.6765480215463</v>
          </cell>
          <cell r="BZ118">
            <v>56.326999999999998</v>
          </cell>
          <cell r="CA118">
            <v>385.8186</v>
          </cell>
          <cell r="CB118">
            <v>154.846</v>
          </cell>
          <cell r="CC118">
            <v>465.32748279999998</v>
          </cell>
          <cell r="CD118">
            <v>596.99160000000006</v>
          </cell>
          <cell r="CE118">
            <v>-131.66411720000008</v>
          </cell>
          <cell r="CF118">
            <v>-22.054601304272971</v>
          </cell>
        </row>
        <row r="119">
          <cell r="G119" t="str">
            <v>OTROS</v>
          </cell>
          <cell r="L119">
            <v>0</v>
          </cell>
          <cell r="M119">
            <v>48</v>
          </cell>
          <cell r="N119">
            <v>48</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t="str">
            <v xml:space="preserve"> </v>
          </cell>
          <cell r="AC119">
            <v>4.460308481439193E-2</v>
          </cell>
          <cell r="AD119">
            <v>4.460308481439193E-2</v>
          </cell>
          <cell r="AE119">
            <v>0</v>
          </cell>
          <cell r="AF119">
            <v>0</v>
          </cell>
          <cell r="AG119">
            <v>0</v>
          </cell>
          <cell r="AH119">
            <v>0</v>
          </cell>
          <cell r="AI119">
            <v>0</v>
          </cell>
          <cell r="AJ119">
            <v>0</v>
          </cell>
          <cell r="AK119">
            <v>150</v>
          </cell>
          <cell r="AL119">
            <v>100</v>
          </cell>
          <cell r="AM119">
            <v>0</v>
          </cell>
          <cell r="AN119">
            <v>0</v>
          </cell>
          <cell r="AO119">
            <v>0</v>
          </cell>
          <cell r="AP119">
            <v>0</v>
          </cell>
          <cell r="AQ119">
            <v>0</v>
          </cell>
          <cell r="AR119">
            <v>0</v>
          </cell>
          <cell r="AS119">
            <v>0</v>
          </cell>
          <cell r="AT119">
            <v>0</v>
          </cell>
          <cell r="AU119">
            <v>0</v>
          </cell>
          <cell r="AV119">
            <v>-150</v>
          </cell>
          <cell r="AW119">
            <v>-100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300</v>
          </cell>
          <cell r="BN119">
            <v>250</v>
          </cell>
          <cell r="BO119">
            <v>250</v>
          </cell>
          <cell r="BP119">
            <v>250</v>
          </cell>
          <cell r="BQ119">
            <v>0</v>
          </cell>
          <cell r="BR119">
            <v>0</v>
          </cell>
          <cell r="BS119">
            <v>0</v>
          </cell>
          <cell r="BT119">
            <v>0</v>
          </cell>
          <cell r="BU119">
            <v>0</v>
          </cell>
          <cell r="BV119">
            <v>-300</v>
          </cell>
          <cell r="BW119">
            <v>-250</v>
          </cell>
          <cell r="BX119">
            <v>-250</v>
          </cell>
          <cell r="BY119">
            <v>-250</v>
          </cell>
          <cell r="BZ119">
            <v>0</v>
          </cell>
          <cell r="CA119">
            <v>0</v>
          </cell>
          <cell r="CB119">
            <v>53.448999999999998</v>
          </cell>
          <cell r="CC119">
            <v>0</v>
          </cell>
          <cell r="CD119">
            <v>53.448999999999998</v>
          </cell>
          <cell r="CE119">
            <v>-53.448999999999998</v>
          </cell>
          <cell r="CF119">
            <v>-100</v>
          </cell>
        </row>
        <row r="120">
          <cell r="H120" t="str">
            <v>Caja Agraria pagares</v>
          </cell>
          <cell r="M120">
            <v>48</v>
          </cell>
          <cell r="N120">
            <v>48</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t="str">
            <v xml:space="preserve"> </v>
          </cell>
          <cell r="AC120">
            <v>4.460308481439193E-2</v>
          </cell>
          <cell r="AD120">
            <v>4.460308481439193E-2</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53.448999999999998</v>
          </cell>
          <cell r="CC120">
            <v>0</v>
          </cell>
          <cell r="CD120">
            <v>53.448999999999998</v>
          </cell>
          <cell r="CE120">
            <v>-53.448999999999998</v>
          </cell>
          <cell r="CF120">
            <v>-100</v>
          </cell>
        </row>
        <row r="121">
          <cell r="H121" t="str">
            <v>Otra Deuda Interna</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t="str">
            <v xml:space="preserve"> </v>
          </cell>
          <cell r="AC121" t="str">
            <v xml:space="preserve"> </v>
          </cell>
          <cell r="AD121" t="str">
            <v xml:space="preserve"> </v>
          </cell>
          <cell r="AK121">
            <v>150</v>
          </cell>
          <cell r="AL121">
            <v>100</v>
          </cell>
          <cell r="AM121">
            <v>0</v>
          </cell>
          <cell r="AN121">
            <v>0</v>
          </cell>
          <cell r="AO121">
            <v>0</v>
          </cell>
          <cell r="AP121">
            <v>0</v>
          </cell>
          <cell r="AQ121">
            <v>0</v>
          </cell>
          <cell r="AR121">
            <v>0</v>
          </cell>
          <cell r="AS121">
            <v>0</v>
          </cell>
          <cell r="AT121">
            <v>0</v>
          </cell>
          <cell r="AU121">
            <v>0</v>
          </cell>
          <cell r="AV121">
            <v>-150</v>
          </cell>
          <cell r="AW121">
            <v>-100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150</v>
          </cell>
          <cell r="BN121">
            <v>250</v>
          </cell>
          <cell r="BO121">
            <v>250</v>
          </cell>
          <cell r="BP121">
            <v>250</v>
          </cell>
          <cell r="BQ121">
            <v>0</v>
          </cell>
          <cell r="BR121">
            <v>0</v>
          </cell>
          <cell r="BS121">
            <v>0</v>
          </cell>
          <cell r="BT121">
            <v>0</v>
          </cell>
          <cell r="BU121">
            <v>0</v>
          </cell>
          <cell r="BV121">
            <v>-150</v>
          </cell>
          <cell r="BW121">
            <v>-250</v>
          </cell>
          <cell r="BX121">
            <v>-250</v>
          </cell>
          <cell r="BY121">
            <v>-250</v>
          </cell>
          <cell r="CC121">
            <v>0</v>
          </cell>
          <cell r="CD121">
            <v>0</v>
          </cell>
          <cell r="CE121">
            <v>0</v>
          </cell>
          <cell r="CF121" t="str">
            <v xml:space="preserve">n.a. </v>
          </cell>
        </row>
        <row r="122">
          <cell r="G122" t="str">
            <v>Mas Bonos Ley 55/85 y otros</v>
          </cell>
          <cell r="L122">
            <v>279.56515974264568</v>
          </cell>
          <cell r="N122">
            <v>279.56515974264568</v>
          </cell>
          <cell r="AA122">
            <v>0</v>
          </cell>
          <cell r="AB122">
            <v>0.25978059439896362</v>
          </cell>
          <cell r="AC122" t="str">
            <v xml:space="preserve"> </v>
          </cell>
          <cell r="AD122">
            <v>0.25978059439896362</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CC122">
            <v>0</v>
          </cell>
          <cell r="CD122">
            <v>0</v>
          </cell>
          <cell r="CE122">
            <v>0</v>
          </cell>
          <cell r="CF122" t="str">
            <v xml:space="preserve">n.a. </v>
          </cell>
        </row>
        <row r="123">
          <cell r="L123">
            <v>476.65260000000001</v>
          </cell>
          <cell r="M123">
            <v>0</v>
          </cell>
          <cell r="N123">
            <v>476.65260000000001</v>
          </cell>
          <cell r="Q123">
            <v>1.5</v>
          </cell>
          <cell r="R123">
            <v>1.7</v>
          </cell>
          <cell r="S123">
            <v>0</v>
          </cell>
          <cell r="T123">
            <v>531.70000000000005</v>
          </cell>
          <cell r="U123">
            <v>6.7278700999999996E-2</v>
          </cell>
          <cell r="V123">
            <v>0</v>
          </cell>
          <cell r="W123">
            <v>0</v>
          </cell>
          <cell r="X123">
            <v>0</v>
          </cell>
          <cell r="Y123">
            <v>0</v>
          </cell>
          <cell r="Z123">
            <v>0</v>
          </cell>
          <cell r="AA123">
            <v>699.42638120100003</v>
          </cell>
          <cell r="AB123">
            <v>0.44292034051667567</v>
          </cell>
          <cell r="AC123" t="str">
            <v xml:space="preserve"> </v>
          </cell>
          <cell r="AD123">
            <v>0.44292034051667567</v>
          </cell>
          <cell r="AE123">
            <v>0</v>
          </cell>
          <cell r="AF123">
            <v>161.71041390315327</v>
          </cell>
          <cell r="AG123">
            <v>0</v>
          </cell>
          <cell r="AH123">
            <v>0</v>
          </cell>
          <cell r="AI123">
            <v>0</v>
          </cell>
          <cell r="AJ123">
            <v>0</v>
          </cell>
          <cell r="AK123">
            <v>535</v>
          </cell>
          <cell r="AL123">
            <v>0</v>
          </cell>
          <cell r="AM123">
            <v>0</v>
          </cell>
          <cell r="AN123">
            <v>0</v>
          </cell>
          <cell r="AO123">
            <v>0</v>
          </cell>
          <cell r="AP123">
            <v>0</v>
          </cell>
          <cell r="AQ123">
            <v>2.7486885968467334</v>
          </cell>
          <cell r="AR123">
            <v>1.5</v>
          </cell>
          <cell r="AS123">
            <v>1.7</v>
          </cell>
          <cell r="AT123">
            <v>0</v>
          </cell>
          <cell r="AU123">
            <v>531.70000000000005</v>
          </cell>
          <cell r="AV123">
            <v>-534.93272129900004</v>
          </cell>
          <cell r="AW123">
            <v>0</v>
          </cell>
          <cell r="AX123">
            <v>0</v>
          </cell>
          <cell r="AY123">
            <v>164.4591025</v>
          </cell>
          <cell r="AZ123">
            <v>165.9591025</v>
          </cell>
          <cell r="BA123">
            <v>167.65910250000002</v>
          </cell>
          <cell r="BB123">
            <v>167.65910250000002</v>
          </cell>
          <cell r="BC123">
            <v>699.35910250000006</v>
          </cell>
          <cell r="BD123">
            <v>699.42638120099991</v>
          </cell>
          <cell r="BE123">
            <v>699.42638120099991</v>
          </cell>
          <cell r="BF123">
            <v>699.42638120099991</v>
          </cell>
          <cell r="BG123">
            <v>699.42638120099991</v>
          </cell>
          <cell r="BH123">
            <v>161.71041390315327</v>
          </cell>
          <cell r="BI123">
            <v>161.71041390315327</v>
          </cell>
          <cell r="BJ123">
            <v>161.71041390315327</v>
          </cell>
          <cell r="BK123">
            <v>161.71041390315327</v>
          </cell>
          <cell r="BL123">
            <v>161.71041390315327</v>
          </cell>
          <cell r="BM123">
            <v>696.71041390315327</v>
          </cell>
          <cell r="BN123">
            <v>696.71041390315327</v>
          </cell>
          <cell r="BO123">
            <v>696.71041390315327</v>
          </cell>
          <cell r="BP123">
            <v>696.71041390315327</v>
          </cell>
          <cell r="BQ123">
            <v>2.7486885968467392</v>
          </cell>
          <cell r="BR123">
            <v>4.2486885968467387</v>
          </cell>
          <cell r="BS123">
            <v>5.9486885968467389</v>
          </cell>
          <cell r="BT123">
            <v>5.9486885968467389</v>
          </cell>
          <cell r="BU123">
            <v>537.6486885968468</v>
          </cell>
          <cell r="BV123">
            <v>2.7159672978467029</v>
          </cell>
          <cell r="BW123">
            <v>2.715967297846646</v>
          </cell>
          <cell r="BX123">
            <v>2.715967297846646</v>
          </cell>
          <cell r="BY123">
            <v>2.715967297846646</v>
          </cell>
          <cell r="BZ123">
            <v>0</v>
          </cell>
          <cell r="CA123">
            <v>0</v>
          </cell>
          <cell r="CB123">
            <v>0</v>
          </cell>
          <cell r="CC123">
            <v>165.9591025</v>
          </cell>
          <cell r="CD123">
            <v>0</v>
          </cell>
          <cell r="CE123">
            <v>165.9591025</v>
          </cell>
          <cell r="CF123" t="str">
            <v xml:space="preserve">n.a. </v>
          </cell>
        </row>
        <row r="124">
          <cell r="F124" t="str">
            <v>Cerromatoso</v>
          </cell>
          <cell r="L124">
            <v>164.3526</v>
          </cell>
          <cell r="N124">
            <v>164.3526</v>
          </cell>
          <cell r="O124">
            <v>0</v>
          </cell>
          <cell r="P124">
            <v>164.35910250000001</v>
          </cell>
          <cell r="Q124">
            <v>0</v>
          </cell>
          <cell r="R124">
            <v>0</v>
          </cell>
          <cell r="S124">
            <v>0</v>
          </cell>
          <cell r="T124">
            <v>0</v>
          </cell>
          <cell r="U124">
            <v>0</v>
          </cell>
          <cell r="V124">
            <v>0</v>
          </cell>
          <cell r="W124">
            <v>0</v>
          </cell>
          <cell r="X124">
            <v>0</v>
          </cell>
          <cell r="Y124">
            <v>0</v>
          </cell>
          <cell r="Z124">
            <v>0</v>
          </cell>
          <cell r="AA124">
            <v>164.35910250000001</v>
          </cell>
          <cell r="AB124">
            <v>0.15272151994303815</v>
          </cell>
          <cell r="AC124" t="str">
            <v xml:space="preserve"> </v>
          </cell>
          <cell r="AD124">
            <v>0.15272151994303815</v>
          </cell>
          <cell r="AE124">
            <v>0</v>
          </cell>
          <cell r="AF124">
            <v>161.71041390315327</v>
          </cell>
          <cell r="AG124">
            <v>0</v>
          </cell>
          <cell r="AH124">
            <v>0</v>
          </cell>
          <cell r="AI124">
            <v>0</v>
          </cell>
          <cell r="AJ124">
            <v>0</v>
          </cell>
          <cell r="AK124">
            <v>0</v>
          </cell>
          <cell r="AL124">
            <v>0</v>
          </cell>
          <cell r="AM124">
            <v>0</v>
          </cell>
          <cell r="AN124">
            <v>0</v>
          </cell>
          <cell r="AO124">
            <v>0</v>
          </cell>
          <cell r="AP124">
            <v>0</v>
          </cell>
          <cell r="AQ124">
            <v>2.6486885968467391</v>
          </cell>
          <cell r="AR124">
            <v>0</v>
          </cell>
          <cell r="AS124">
            <v>0</v>
          </cell>
          <cell r="AT124">
            <v>0</v>
          </cell>
          <cell r="AU124">
            <v>0</v>
          </cell>
          <cell r="AV124">
            <v>0</v>
          </cell>
          <cell r="AW124">
            <v>0</v>
          </cell>
          <cell r="AX124">
            <v>0</v>
          </cell>
          <cell r="AY124">
            <v>164.35910250000001</v>
          </cell>
          <cell r="AZ124">
            <v>164.35910250000001</v>
          </cell>
          <cell r="BA124">
            <v>164.35910250000001</v>
          </cell>
          <cell r="BB124">
            <v>164.35910250000001</v>
          </cell>
          <cell r="BC124">
            <v>164.35910250000001</v>
          </cell>
          <cell r="BD124">
            <v>164.35910250000001</v>
          </cell>
          <cell r="BE124">
            <v>164.35910250000001</v>
          </cell>
          <cell r="BF124">
            <v>164.35910250000001</v>
          </cell>
          <cell r="BG124">
            <v>164.35910250000001</v>
          </cell>
          <cell r="BH124">
            <v>161.71041390315327</v>
          </cell>
          <cell r="BI124">
            <v>161.71041390315327</v>
          </cell>
          <cell r="BJ124">
            <v>161.71041390315327</v>
          </cell>
          <cell r="BK124">
            <v>161.71041390315327</v>
          </cell>
          <cell r="BL124">
            <v>161.71041390315327</v>
          </cell>
          <cell r="BM124">
            <v>161.71041390315327</v>
          </cell>
          <cell r="BN124">
            <v>161.71041390315327</v>
          </cell>
          <cell r="BO124">
            <v>161.71041390315327</v>
          </cell>
          <cell r="BP124">
            <v>161.71041390315327</v>
          </cell>
          <cell r="BQ124">
            <v>2.6486885968467391</v>
          </cell>
          <cell r="BR124">
            <v>2.6486885968467391</v>
          </cell>
          <cell r="BS124">
            <v>2.6486885968467391</v>
          </cell>
          <cell r="BT124">
            <v>2.6486885968467391</v>
          </cell>
          <cell r="BU124">
            <v>2.6486885968467391</v>
          </cell>
          <cell r="BV124">
            <v>2.6486885968467391</v>
          </cell>
          <cell r="BW124">
            <v>2.6486885968467391</v>
          </cell>
          <cell r="BX124">
            <v>2.6486885968467391</v>
          </cell>
          <cell r="BY124">
            <v>2.6486885968467391</v>
          </cell>
          <cell r="CC124">
            <v>164.35910250000001</v>
          </cell>
          <cell r="CD124">
            <v>0</v>
          </cell>
          <cell r="CE124">
            <v>164.35910250000001</v>
          </cell>
          <cell r="CF124" t="str">
            <v xml:space="preserve">n.a. </v>
          </cell>
        </row>
        <row r="125">
          <cell r="F125" t="str">
            <v xml:space="preserve">Epsa </v>
          </cell>
          <cell r="L125">
            <v>312.3</v>
          </cell>
          <cell r="N125">
            <v>312.3</v>
          </cell>
          <cell r="O125">
            <v>0</v>
          </cell>
          <cell r="P125">
            <v>0.1</v>
          </cell>
          <cell r="Q125">
            <v>1.5</v>
          </cell>
          <cell r="R125">
            <v>1.7</v>
          </cell>
          <cell r="S125">
            <v>0</v>
          </cell>
          <cell r="T125">
            <v>531.70000000000005</v>
          </cell>
          <cell r="U125">
            <v>6.7278700999999996E-2</v>
          </cell>
          <cell r="V125">
            <v>0</v>
          </cell>
          <cell r="W125">
            <v>0</v>
          </cell>
          <cell r="X125">
            <v>0</v>
          </cell>
          <cell r="Y125">
            <v>0</v>
          </cell>
          <cell r="Z125">
            <v>0</v>
          </cell>
          <cell r="AA125">
            <v>535.06727870099996</v>
          </cell>
          <cell r="AB125">
            <v>0.29019882057363749</v>
          </cell>
          <cell r="AC125" t="str">
            <v xml:space="preserve"> </v>
          </cell>
          <cell r="AD125">
            <v>0.29019882057363749</v>
          </cell>
          <cell r="AE125">
            <v>0</v>
          </cell>
          <cell r="AF125">
            <v>0</v>
          </cell>
          <cell r="AG125">
            <v>0</v>
          </cell>
          <cell r="AH125">
            <v>0</v>
          </cell>
          <cell r="AI125">
            <v>0</v>
          </cell>
          <cell r="AJ125">
            <v>0</v>
          </cell>
          <cell r="AK125">
            <v>535</v>
          </cell>
          <cell r="AL125">
            <v>0</v>
          </cell>
          <cell r="AM125">
            <v>0</v>
          </cell>
          <cell r="AN125">
            <v>0</v>
          </cell>
          <cell r="AO125">
            <v>0</v>
          </cell>
          <cell r="AP125">
            <v>0</v>
          </cell>
          <cell r="AQ125">
            <v>0.1</v>
          </cell>
          <cell r="AR125">
            <v>1.5</v>
          </cell>
          <cell r="AS125">
            <v>1.7</v>
          </cell>
          <cell r="AT125">
            <v>0</v>
          </cell>
          <cell r="AU125">
            <v>531.70000000000005</v>
          </cell>
          <cell r="AV125">
            <v>-534.93272129900004</v>
          </cell>
          <cell r="AW125">
            <v>0</v>
          </cell>
          <cell r="AX125">
            <v>0</v>
          </cell>
          <cell r="AY125">
            <v>0.1</v>
          </cell>
          <cell r="AZ125">
            <v>1.6</v>
          </cell>
          <cell r="BA125">
            <v>3.3</v>
          </cell>
          <cell r="BB125">
            <v>3.3</v>
          </cell>
          <cell r="BC125">
            <v>535</v>
          </cell>
          <cell r="BD125">
            <v>535.06727870099996</v>
          </cell>
          <cell r="BE125">
            <v>535.06727870099996</v>
          </cell>
          <cell r="BF125">
            <v>535.06727870099996</v>
          </cell>
          <cell r="BG125">
            <v>535.06727870099996</v>
          </cell>
          <cell r="BH125">
            <v>0</v>
          </cell>
          <cell r="BI125">
            <v>0</v>
          </cell>
          <cell r="BJ125">
            <v>0</v>
          </cell>
          <cell r="BK125">
            <v>0</v>
          </cell>
          <cell r="BL125">
            <v>0</v>
          </cell>
          <cell r="BM125">
            <v>535</v>
          </cell>
          <cell r="BN125">
            <v>535</v>
          </cell>
          <cell r="BO125">
            <v>535</v>
          </cell>
          <cell r="BP125">
            <v>535</v>
          </cell>
          <cell r="BQ125">
            <v>0.1</v>
          </cell>
          <cell r="BR125">
            <v>1.6</v>
          </cell>
          <cell r="BS125">
            <v>3.3</v>
          </cell>
          <cell r="BT125">
            <v>3.3</v>
          </cell>
          <cell r="BU125">
            <v>535</v>
          </cell>
          <cell r="BV125">
            <v>6.7278700999963803E-2</v>
          </cell>
          <cell r="BW125">
            <v>6.7278700999963803E-2</v>
          </cell>
          <cell r="BX125">
            <v>6.7278700999963803E-2</v>
          </cell>
          <cell r="BY125">
            <v>6.7278700999963803E-2</v>
          </cell>
          <cell r="CC125">
            <v>1.6</v>
          </cell>
          <cell r="CD125">
            <v>0</v>
          </cell>
          <cell r="CE125">
            <v>1.6</v>
          </cell>
          <cell r="CF125" t="str">
            <v xml:space="preserve">n.a. </v>
          </cell>
        </row>
        <row r="126">
          <cell r="AX126">
            <v>0</v>
          </cell>
          <cell r="BN126">
            <v>0</v>
          </cell>
          <cell r="BO126">
            <v>0</v>
          </cell>
        </row>
        <row r="127">
          <cell r="L127">
            <v>494.46593362474619</v>
          </cell>
          <cell r="M127">
            <v>-105</v>
          </cell>
          <cell r="N127">
            <v>389.46593362474619</v>
          </cell>
          <cell r="Q127">
            <v>565.83517064273622</v>
          </cell>
          <cell r="R127">
            <v>42.685130151915928</v>
          </cell>
          <cell r="S127">
            <v>121.74199531563303</v>
          </cell>
          <cell r="T127">
            <v>-716.07373198375967</v>
          </cell>
          <cell r="U127">
            <v>52.654882650232103</v>
          </cell>
          <cell r="V127">
            <v>-437.69818666688025</v>
          </cell>
          <cell r="W127">
            <v>746.83107923199123</v>
          </cell>
          <cell r="X127">
            <v>-565.43032128721893</v>
          </cell>
          <cell r="Y127">
            <v>459.90283069623837</v>
          </cell>
          <cell r="Z127">
            <v>1576.7389019964503</v>
          </cell>
          <cell r="AA127">
            <v>386.77268877276833</v>
          </cell>
          <cell r="AB127">
            <v>0.45947304115191756</v>
          </cell>
          <cell r="AC127">
            <v>-9.7569248031482342E-2</v>
          </cell>
          <cell r="AD127">
            <v>0.36190379312043525</v>
          </cell>
          <cell r="AE127">
            <v>508.70000000000005</v>
          </cell>
          <cell r="AF127">
            <v>0</v>
          </cell>
          <cell r="AG127">
            <v>0</v>
          </cell>
          <cell r="AH127">
            <v>0</v>
          </cell>
          <cell r="AI127">
            <v>0</v>
          </cell>
          <cell r="AJ127">
            <v>0</v>
          </cell>
          <cell r="AK127">
            <v>0</v>
          </cell>
          <cell r="AL127">
            <v>0</v>
          </cell>
          <cell r="AM127">
            <v>0</v>
          </cell>
          <cell r="AN127">
            <v>0</v>
          </cell>
          <cell r="AO127">
            <v>0</v>
          </cell>
          <cell r="AP127">
            <v>-728.72774775733319</v>
          </cell>
          <cell r="AQ127">
            <v>-1240.387314217237</v>
          </cell>
          <cell r="AR127">
            <v>565.83517064273622</v>
          </cell>
          <cell r="AS127">
            <v>42.685130151915928</v>
          </cell>
          <cell r="AT127">
            <v>121.74199531563303</v>
          </cell>
          <cell r="AU127">
            <v>-716.07373198375967</v>
          </cell>
          <cell r="AV127">
            <v>52.654882650232103</v>
          </cell>
          <cell r="AW127">
            <v>-437.69818666688025</v>
          </cell>
          <cell r="AX127">
            <v>746.83107923199123</v>
          </cell>
          <cell r="AY127">
            <v>-1460.4150619745701</v>
          </cell>
          <cell r="AZ127">
            <v>-894.57989133183389</v>
          </cell>
          <cell r="BA127">
            <v>-851.89476117991796</v>
          </cell>
          <cell r="BB127">
            <v>-730.1527658642849</v>
          </cell>
          <cell r="BC127">
            <v>-1446.2264978480446</v>
          </cell>
          <cell r="BD127">
            <v>-1393.5716151978124</v>
          </cell>
          <cell r="BE127">
            <v>-1831.2698018646927</v>
          </cell>
          <cell r="BF127">
            <v>-1084.4387226327015</v>
          </cell>
          <cell r="BG127">
            <v>-1649.8690439199204</v>
          </cell>
          <cell r="BH127">
            <v>508.70000000000005</v>
          </cell>
          <cell r="BI127">
            <v>508.70000000000005</v>
          </cell>
          <cell r="BJ127">
            <v>508.70000000000005</v>
          </cell>
          <cell r="BK127">
            <v>508.70000000000005</v>
          </cell>
          <cell r="BL127">
            <v>508.70000000000005</v>
          </cell>
          <cell r="BM127">
            <v>508.70000000000005</v>
          </cell>
          <cell r="BN127">
            <v>508.70000000000005</v>
          </cell>
          <cell r="BO127">
            <v>508.70000000000005</v>
          </cell>
          <cell r="BP127">
            <v>508.70000000000005</v>
          </cell>
          <cell r="BQ127">
            <v>-1969.1150619745699</v>
          </cell>
          <cell r="BR127">
            <v>-1403.2798913318338</v>
          </cell>
          <cell r="BS127">
            <v>-1360.5947611799179</v>
          </cell>
          <cell r="BT127">
            <v>-1238.8527658642849</v>
          </cell>
          <cell r="BU127">
            <v>-1954.9264978480446</v>
          </cell>
          <cell r="BV127">
            <v>-1902.2716151978125</v>
          </cell>
          <cell r="BW127">
            <v>-2339.9698018646927</v>
          </cell>
          <cell r="BX127">
            <v>-1593.1387226327015</v>
          </cell>
          <cell r="BY127">
            <v>-2158.5690439199207</v>
          </cell>
          <cell r="BZ127">
            <v>133.48042187999999</v>
          </cell>
          <cell r="CA127">
            <v>-222.04193587760008</v>
          </cell>
          <cell r="CB127">
            <v>227.13897456100011</v>
          </cell>
          <cell r="CC127">
            <v>-894.57989133183389</v>
          </cell>
          <cell r="CD127">
            <v>138.57746056340005</v>
          </cell>
          <cell r="CE127">
            <v>-1033.1573518952339</v>
          </cell>
          <cell r="CF127">
            <v>-745.54501698532567</v>
          </cell>
        </row>
        <row r="128">
          <cell r="L128">
            <v>399.66593362474617</v>
          </cell>
          <cell r="M128">
            <v>0</v>
          </cell>
          <cell r="N128">
            <v>399.66593362474617</v>
          </cell>
          <cell r="Q128">
            <v>-30.112321813264227</v>
          </cell>
          <cell r="R128">
            <v>293.96046498791429</v>
          </cell>
          <cell r="S128">
            <v>131.99697951248331</v>
          </cell>
          <cell r="T128">
            <v>-429.1030702787582</v>
          </cell>
          <cell r="U128">
            <v>53.862612822234006</v>
          </cell>
          <cell r="V128">
            <v>222.47641698612006</v>
          </cell>
          <cell r="W128">
            <v>264.01452723499602</v>
          </cell>
          <cell r="X128">
            <v>46.525055275661792</v>
          </cell>
          <cell r="Y128">
            <v>54.253219819235881</v>
          </cell>
          <cell r="Z128">
            <v>578.56029855644999</v>
          </cell>
          <cell r="AA128">
            <v>603.55169489150296</v>
          </cell>
          <cell r="AB128">
            <v>0.3713819486434935</v>
          </cell>
          <cell r="AC128" t="str">
            <v xml:space="preserve"> </v>
          </cell>
          <cell r="AD128">
            <v>0.3713819486434935</v>
          </cell>
          <cell r="AE128">
            <v>538.70000000000005</v>
          </cell>
          <cell r="AF128">
            <v>0</v>
          </cell>
          <cell r="AG128">
            <v>0</v>
          </cell>
          <cell r="AH128">
            <v>0</v>
          </cell>
          <cell r="AI128">
            <v>0</v>
          </cell>
          <cell r="AJ128">
            <v>0</v>
          </cell>
          <cell r="AK128">
            <v>0</v>
          </cell>
          <cell r="AL128">
            <v>0</v>
          </cell>
          <cell r="AM128">
            <v>0</v>
          </cell>
          <cell r="AN128">
            <v>0</v>
          </cell>
          <cell r="AO128">
            <v>0</v>
          </cell>
          <cell r="AP128">
            <v>-305.24850433333336</v>
          </cell>
          <cell r="AQ128">
            <v>-816.33398387823672</v>
          </cell>
          <cell r="AR128">
            <v>-30.112321813264227</v>
          </cell>
          <cell r="AS128">
            <v>293.96046498791429</v>
          </cell>
          <cell r="AT128">
            <v>131.99697951248331</v>
          </cell>
          <cell r="AU128">
            <v>-429.1030702787582</v>
          </cell>
          <cell r="AV128">
            <v>53.862612822234006</v>
          </cell>
          <cell r="AW128">
            <v>222.47641698612006</v>
          </cell>
          <cell r="AX128">
            <v>264.01452723499602</v>
          </cell>
          <cell r="AY128">
            <v>-582.88248821157003</v>
          </cell>
          <cell r="AZ128">
            <v>-612.99481002483424</v>
          </cell>
          <cell r="BA128">
            <v>-319.03434503691994</v>
          </cell>
          <cell r="BB128">
            <v>-187.03736552443661</v>
          </cell>
          <cell r="BC128">
            <v>-616.1404358031948</v>
          </cell>
          <cell r="BD128">
            <v>-562.27782298096076</v>
          </cell>
          <cell r="BE128">
            <v>-339.80140599484071</v>
          </cell>
          <cell r="BF128">
            <v>-75.786878759844683</v>
          </cell>
          <cell r="BG128">
            <v>-29.261823484182912</v>
          </cell>
          <cell r="BH128">
            <v>538.70000000000005</v>
          </cell>
          <cell r="BI128">
            <v>538.70000000000005</v>
          </cell>
          <cell r="BJ128">
            <v>538.70000000000005</v>
          </cell>
          <cell r="BK128">
            <v>538.70000000000005</v>
          </cell>
          <cell r="BL128">
            <v>538.70000000000005</v>
          </cell>
          <cell r="BM128">
            <v>538.70000000000005</v>
          </cell>
          <cell r="BN128">
            <v>538.70000000000005</v>
          </cell>
          <cell r="BO128">
            <v>538.70000000000005</v>
          </cell>
          <cell r="BP128">
            <v>538.70000000000005</v>
          </cell>
          <cell r="BQ128">
            <v>-1121.5824882115699</v>
          </cell>
          <cell r="BR128">
            <v>-1151.6948100248342</v>
          </cell>
          <cell r="BS128">
            <v>-857.73434503691999</v>
          </cell>
          <cell r="BT128">
            <v>-725.73736552443665</v>
          </cell>
          <cell r="BU128">
            <v>-1154.8404358031949</v>
          </cell>
          <cell r="BV128">
            <v>-1100.9778229809608</v>
          </cell>
          <cell r="BW128">
            <v>-878.50140599484075</v>
          </cell>
          <cell r="BX128">
            <v>-614.48687875984479</v>
          </cell>
          <cell r="BY128">
            <v>-567.96182348418301</v>
          </cell>
          <cell r="BZ128">
            <v>47.340546880000005</v>
          </cell>
          <cell r="CA128">
            <v>-219.18651125660006</v>
          </cell>
          <cell r="CB128">
            <v>-71.816450059999909</v>
          </cell>
          <cell r="CC128">
            <v>-612.99481002483424</v>
          </cell>
          <cell r="CD128">
            <v>-243.66241443659993</v>
          </cell>
          <cell r="CE128">
            <v>-369.33239558823431</v>
          </cell>
          <cell r="CF128">
            <v>151.57544771203652</v>
          </cell>
        </row>
        <row r="129">
          <cell r="G129" t="str">
            <v>Utilización Portafolio Tesoreria</v>
          </cell>
          <cell r="L129">
            <v>620.90776154493005</v>
          </cell>
          <cell r="N129">
            <v>620.90776154493005</v>
          </cell>
          <cell r="O129">
            <v>141.83744633333336</v>
          </cell>
          <cell r="P129">
            <v>-816.33398387823672</v>
          </cell>
          <cell r="Q129">
            <v>-30.112321813264227</v>
          </cell>
          <cell r="R129">
            <v>293.96046498791429</v>
          </cell>
          <cell r="S129">
            <v>131.99697951248331</v>
          </cell>
          <cell r="T129">
            <v>106.67200472124185</v>
          </cell>
          <cell r="U129">
            <v>53.862612822234006</v>
          </cell>
          <cell r="V129">
            <v>222.47641698612006</v>
          </cell>
          <cell r="W129">
            <v>264.01452723499602</v>
          </cell>
          <cell r="X129">
            <v>46.525055275661792</v>
          </cell>
          <cell r="Y129">
            <v>41.436198461096744</v>
          </cell>
          <cell r="Z129">
            <v>250.53679855644995</v>
          </cell>
          <cell r="AA129">
            <v>706.87219920003042</v>
          </cell>
          <cell r="AB129">
            <v>0.57696669896047403</v>
          </cell>
          <cell r="AC129" t="str">
            <v xml:space="preserve"> </v>
          </cell>
          <cell r="AD129">
            <v>0.57696669896047403</v>
          </cell>
          <cell r="AE129">
            <v>448.15828804700004</v>
          </cell>
          <cell r="AF129">
            <v>0</v>
          </cell>
          <cell r="AG129">
            <v>0</v>
          </cell>
          <cell r="AH129">
            <v>0</v>
          </cell>
          <cell r="AI129">
            <v>0</v>
          </cell>
          <cell r="AJ129">
            <v>0</v>
          </cell>
          <cell r="AK129">
            <v>0</v>
          </cell>
          <cell r="AL129">
            <v>0</v>
          </cell>
          <cell r="AM129">
            <v>0</v>
          </cell>
          <cell r="AN129">
            <v>0</v>
          </cell>
          <cell r="AO129">
            <v>0</v>
          </cell>
          <cell r="AP129">
            <v>-306.32084171366671</v>
          </cell>
          <cell r="AQ129">
            <v>-816.33398387823672</v>
          </cell>
          <cell r="AR129">
            <v>-30.112321813264227</v>
          </cell>
          <cell r="AS129">
            <v>293.96046498791429</v>
          </cell>
          <cell r="AT129">
            <v>131.99697951248331</v>
          </cell>
          <cell r="AU129">
            <v>106.67200472124185</v>
          </cell>
          <cell r="AV129">
            <v>53.862612822234006</v>
          </cell>
          <cell r="AW129">
            <v>222.47641698612006</v>
          </cell>
          <cell r="AX129">
            <v>264.01452723499602</v>
          </cell>
          <cell r="AY129">
            <v>-674.49653754490339</v>
          </cell>
          <cell r="AZ129">
            <v>-704.60885935816759</v>
          </cell>
          <cell r="BA129">
            <v>-410.6483943702533</v>
          </cell>
          <cell r="BB129">
            <v>-278.65141485776996</v>
          </cell>
          <cell r="BC129">
            <v>-171.97941013652812</v>
          </cell>
          <cell r="BD129">
            <v>-118.1167973142941</v>
          </cell>
          <cell r="BE129">
            <v>104.35961967182595</v>
          </cell>
          <cell r="BF129">
            <v>368.37414690682198</v>
          </cell>
          <cell r="BG129">
            <v>414.89920218248375</v>
          </cell>
          <cell r="BH129">
            <v>448.15828804700004</v>
          </cell>
          <cell r="BI129">
            <v>448.15828804700004</v>
          </cell>
          <cell r="BJ129">
            <v>448.15828804700004</v>
          </cell>
          <cell r="BK129">
            <v>448.15828804700004</v>
          </cell>
          <cell r="BL129">
            <v>448.15828804700004</v>
          </cell>
          <cell r="BM129">
            <v>448.15828804700004</v>
          </cell>
          <cell r="BN129">
            <v>448.15828804700004</v>
          </cell>
          <cell r="BO129">
            <v>448.15828804700004</v>
          </cell>
          <cell r="BP129">
            <v>448.15828804700004</v>
          </cell>
          <cell r="BQ129">
            <v>-1122.6548255919033</v>
          </cell>
          <cell r="BR129">
            <v>-1152.7671474051676</v>
          </cell>
          <cell r="BS129">
            <v>-858.80668241725334</v>
          </cell>
          <cell r="BT129">
            <v>-726.80970290477001</v>
          </cell>
          <cell r="BU129">
            <v>-620.13769818352819</v>
          </cell>
          <cell r="BV129">
            <v>-566.27508536129415</v>
          </cell>
          <cell r="BW129">
            <v>-343.79866837517409</v>
          </cell>
          <cell r="BX129">
            <v>-79.784141140178065</v>
          </cell>
          <cell r="BY129">
            <v>-33.259085864516294</v>
          </cell>
          <cell r="BZ129">
            <v>-42.656453119999995</v>
          </cell>
          <cell r="CA129">
            <v>-219.18651125660006</v>
          </cell>
          <cell r="CB129">
            <v>-71.816450059999909</v>
          </cell>
          <cell r="CC129">
            <v>-704.60885935816759</v>
          </cell>
          <cell r="CD129">
            <v>-333.65941443659995</v>
          </cell>
          <cell r="CE129">
            <v>-370.94944492156765</v>
          </cell>
          <cell r="CF129">
            <v>111.17607622369468</v>
          </cell>
        </row>
        <row r="130">
          <cell r="G130" t="str">
            <v>Utilización Portafolio Larga Distancia</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t="str">
            <v xml:space="preserve"> </v>
          </cell>
          <cell r="AC130" t="str">
            <v xml:space="preserve"> </v>
          </cell>
          <cell r="AD130" t="str">
            <v xml:space="preserve"> </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CC130">
            <v>0</v>
          </cell>
          <cell r="CD130">
            <v>0</v>
          </cell>
          <cell r="CE130">
            <v>0</v>
          </cell>
          <cell r="CF130" t="str">
            <v xml:space="preserve">n.a. </v>
          </cell>
        </row>
        <row r="131">
          <cell r="G131" t="str">
            <v>Utilización Portafolio Telefonia Celular</v>
          </cell>
          <cell r="L131">
            <v>8.8901720798161357</v>
          </cell>
          <cell r="N131">
            <v>8.8901720798161357</v>
          </cell>
          <cell r="O131">
            <v>91.614049333333355</v>
          </cell>
          <cell r="P131">
            <v>0</v>
          </cell>
          <cell r="Q131">
            <v>0</v>
          </cell>
          <cell r="R131">
            <v>0</v>
          </cell>
          <cell r="S131">
            <v>0</v>
          </cell>
          <cell r="T131">
            <v>0</v>
          </cell>
          <cell r="U131">
            <v>0</v>
          </cell>
          <cell r="V131">
            <v>0</v>
          </cell>
          <cell r="W131">
            <v>0</v>
          </cell>
          <cell r="X131">
            <v>0</v>
          </cell>
          <cell r="Y131">
            <v>0</v>
          </cell>
          <cell r="Z131">
            <v>0</v>
          </cell>
          <cell r="AA131">
            <v>91.614049333333355</v>
          </cell>
          <cell r="AB131">
            <v>8.2610229018870458E-3</v>
          </cell>
          <cell r="AC131" t="str">
            <v xml:space="preserve"> </v>
          </cell>
          <cell r="AD131">
            <v>8.2610229018870458E-3</v>
          </cell>
          <cell r="AE131">
            <v>90.541711952999989</v>
          </cell>
          <cell r="AF131">
            <v>0</v>
          </cell>
          <cell r="AG131">
            <v>0</v>
          </cell>
          <cell r="AH131">
            <v>0</v>
          </cell>
          <cell r="AI131">
            <v>0</v>
          </cell>
          <cell r="AJ131">
            <v>0</v>
          </cell>
          <cell r="AK131">
            <v>0</v>
          </cell>
          <cell r="AL131">
            <v>0</v>
          </cell>
          <cell r="AM131">
            <v>0</v>
          </cell>
          <cell r="AN131">
            <v>0</v>
          </cell>
          <cell r="AO131">
            <v>0</v>
          </cell>
          <cell r="AP131">
            <v>1.0723373803333658</v>
          </cell>
          <cell r="AQ131">
            <v>0</v>
          </cell>
          <cell r="AR131">
            <v>0</v>
          </cell>
          <cell r="AS131">
            <v>0</v>
          </cell>
          <cell r="AT131">
            <v>0</v>
          </cell>
          <cell r="AU131">
            <v>0</v>
          </cell>
          <cell r="AV131">
            <v>0</v>
          </cell>
          <cell r="AW131">
            <v>0</v>
          </cell>
          <cell r="AX131">
            <v>0</v>
          </cell>
          <cell r="AY131">
            <v>91.614049333333355</v>
          </cell>
          <cell r="AZ131">
            <v>91.614049333333355</v>
          </cell>
          <cell r="BA131">
            <v>91.614049333333355</v>
          </cell>
          <cell r="BB131">
            <v>91.614049333333355</v>
          </cell>
          <cell r="BC131">
            <v>91.614049333333355</v>
          </cell>
          <cell r="BD131">
            <v>91.614049333333355</v>
          </cell>
          <cell r="BE131">
            <v>91.614049333333355</v>
          </cell>
          <cell r="BF131">
            <v>91.614049333333355</v>
          </cell>
          <cell r="BG131">
            <v>91.614049333333355</v>
          </cell>
          <cell r="BH131">
            <v>90.541711952999989</v>
          </cell>
          <cell r="BI131">
            <v>90.541711952999989</v>
          </cell>
          <cell r="BJ131">
            <v>90.541711952999989</v>
          </cell>
          <cell r="BK131">
            <v>90.541711952999989</v>
          </cell>
          <cell r="BL131">
            <v>90.541711952999989</v>
          </cell>
          <cell r="BM131">
            <v>90.541711952999989</v>
          </cell>
          <cell r="BN131">
            <v>90.541711952999989</v>
          </cell>
          <cell r="BO131">
            <v>90.541711952999989</v>
          </cell>
          <cell r="BP131">
            <v>90.541711952999989</v>
          </cell>
          <cell r="BQ131">
            <v>1.0723373803333658</v>
          </cell>
          <cell r="BR131">
            <v>1.0723373803333658</v>
          </cell>
          <cell r="BS131">
            <v>1.0723373803333658</v>
          </cell>
          <cell r="BT131">
            <v>1.0723373803333658</v>
          </cell>
          <cell r="BU131">
            <v>1.0723373803333658</v>
          </cell>
          <cell r="BV131">
            <v>1.0723373803333658</v>
          </cell>
          <cell r="BW131">
            <v>1.0723373803333658</v>
          </cell>
          <cell r="BX131">
            <v>1.0723373803333658</v>
          </cell>
          <cell r="BY131">
            <v>1.0723373803333658</v>
          </cell>
          <cell r="BZ131">
            <v>89.997</v>
          </cell>
          <cell r="CA131">
            <v>0</v>
          </cell>
          <cell r="CB131">
            <v>0</v>
          </cell>
          <cell r="CC131">
            <v>91.614049333333355</v>
          </cell>
          <cell r="CD131">
            <v>89.997</v>
          </cell>
          <cell r="CE131">
            <v>1.6170493333333553</v>
          </cell>
          <cell r="CF131">
            <v>1.7967813741939898</v>
          </cell>
        </row>
        <row r="132">
          <cell r="G132" t="str">
            <v>Utilización Portafolio EPSA</v>
          </cell>
          <cell r="L132">
            <v>-312.3</v>
          </cell>
          <cell r="N132">
            <v>-312.3</v>
          </cell>
          <cell r="O132">
            <v>0</v>
          </cell>
          <cell r="P132">
            <v>0</v>
          </cell>
          <cell r="Q132">
            <v>0</v>
          </cell>
          <cell r="R132">
            <v>0</v>
          </cell>
          <cell r="S132">
            <v>0</v>
          </cell>
          <cell r="T132">
            <v>-535.77507500000002</v>
          </cell>
          <cell r="U132">
            <v>0</v>
          </cell>
          <cell r="V132">
            <v>0</v>
          </cell>
          <cell r="W132">
            <v>0</v>
          </cell>
          <cell r="X132">
            <v>0</v>
          </cell>
          <cell r="Y132">
            <v>12.817021358139133</v>
          </cell>
          <cell r="Z132">
            <v>328.02350000000001</v>
          </cell>
          <cell r="AA132">
            <v>-194.93455364186082</v>
          </cell>
          <cell r="AB132">
            <v>-0.29019882057363749</v>
          </cell>
          <cell r="AC132" t="str">
            <v xml:space="preserve"> </v>
          </cell>
          <cell r="AD132">
            <v>-0.29019882057363749</v>
          </cell>
          <cell r="AP132">
            <v>0</v>
          </cell>
          <cell r="AQ132">
            <v>0</v>
          </cell>
          <cell r="AR132">
            <v>0</v>
          </cell>
          <cell r="AS132">
            <v>0</v>
          </cell>
          <cell r="AT132">
            <v>0</v>
          </cell>
          <cell r="AU132">
            <v>-535.77507500000002</v>
          </cell>
          <cell r="AV132">
            <v>0</v>
          </cell>
          <cell r="AW132">
            <v>0</v>
          </cell>
          <cell r="AX132">
            <v>0</v>
          </cell>
          <cell r="AY132">
            <v>0</v>
          </cell>
          <cell r="AZ132">
            <v>0</v>
          </cell>
          <cell r="BA132">
            <v>0</v>
          </cell>
          <cell r="BB132">
            <v>0</v>
          </cell>
          <cell r="BC132">
            <v>-535.77507500000002</v>
          </cell>
          <cell r="BD132">
            <v>-535.77507500000002</v>
          </cell>
          <cell r="BE132">
            <v>-535.77507500000002</v>
          </cell>
          <cell r="BF132">
            <v>-535.77507500000002</v>
          </cell>
          <cell r="BG132">
            <v>-535.77507500000002</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-535.77507500000002</v>
          </cell>
          <cell r="BV132">
            <v>-535.77507500000002</v>
          </cell>
          <cell r="BW132">
            <v>-535.77507500000002</v>
          </cell>
          <cell r="BX132">
            <v>-535.77507500000002</v>
          </cell>
          <cell r="BY132">
            <v>-535.77507500000002</v>
          </cell>
          <cell r="CC132">
            <v>0</v>
          </cell>
          <cell r="CD132">
            <v>0</v>
          </cell>
          <cell r="CE132">
            <v>0</v>
          </cell>
          <cell r="CF132" t="str">
            <v xml:space="preserve">n.a. </v>
          </cell>
        </row>
        <row r="133">
          <cell r="L133">
            <v>94.8</v>
          </cell>
          <cell r="M133">
            <v>-105</v>
          </cell>
          <cell r="N133">
            <v>-10.200000000000003</v>
          </cell>
          <cell r="Q133">
            <v>595.94749245600042</v>
          </cell>
          <cell r="R133">
            <v>-251.27533483599836</v>
          </cell>
          <cell r="S133">
            <v>-10.254984196850273</v>
          </cell>
          <cell r="T133">
            <v>-286.97066170500148</v>
          </cell>
          <cell r="U133">
            <v>-1.2077301720019022</v>
          </cell>
          <cell r="V133">
            <v>-660.1746036530003</v>
          </cell>
          <cell r="W133">
            <v>482.81655199699526</v>
          </cell>
          <cell r="X133">
            <v>-611.9553765628807</v>
          </cell>
          <cell r="Y133">
            <v>405.64961087700249</v>
          </cell>
          <cell r="Z133">
            <v>998.17860344000019</v>
          </cell>
          <cell r="AA133">
            <v>-216.77900611873474</v>
          </cell>
          <cell r="AB133">
            <v>8.8091092508424063E-2</v>
          </cell>
          <cell r="AC133">
            <v>-9.7569248031482342E-2</v>
          </cell>
          <cell r="AD133">
            <v>-9.4781555230582879E-3</v>
          </cell>
          <cell r="AE133">
            <v>-30</v>
          </cell>
          <cell r="AF133">
            <v>0</v>
          </cell>
          <cell r="AG133">
            <v>0</v>
          </cell>
          <cell r="AH133">
            <v>0</v>
          </cell>
          <cell r="AI133">
            <v>0</v>
          </cell>
          <cell r="AJ133">
            <v>0</v>
          </cell>
          <cell r="AK133">
            <v>0</v>
          </cell>
          <cell r="AL133">
            <v>0</v>
          </cell>
          <cell r="AM133">
            <v>0</v>
          </cell>
          <cell r="AN133">
            <v>0</v>
          </cell>
          <cell r="AO133">
            <v>0</v>
          </cell>
          <cell r="AP133">
            <v>-423.47924342399983</v>
          </cell>
          <cell r="AQ133">
            <v>-424.05333033900024</v>
          </cell>
          <cell r="AR133">
            <v>595.94749245600042</v>
          </cell>
          <cell r="AS133">
            <v>-251.27533483599836</v>
          </cell>
          <cell r="AT133">
            <v>-10.254984196850273</v>
          </cell>
          <cell r="AU133">
            <v>-286.97066170500148</v>
          </cell>
          <cell r="AV133">
            <v>-1.2077301720019022</v>
          </cell>
          <cell r="AW133">
            <v>-660.1746036530003</v>
          </cell>
          <cell r="AX133">
            <v>482.81655199699526</v>
          </cell>
          <cell r="AY133">
            <v>-877.53257376300007</v>
          </cell>
          <cell r="AZ133">
            <v>-281.58508130699965</v>
          </cell>
          <cell r="BA133">
            <v>-532.86041614299802</v>
          </cell>
          <cell r="BB133">
            <v>-543.11540033984829</v>
          </cell>
          <cell r="BC133">
            <v>-830.08606204484977</v>
          </cell>
          <cell r="BD133">
            <v>-831.29379221685167</v>
          </cell>
          <cell r="BE133">
            <v>-1491.468395869852</v>
          </cell>
          <cell r="BF133">
            <v>-1008.6518438728567</v>
          </cell>
          <cell r="BG133">
            <v>-1620.6072204357374</v>
          </cell>
          <cell r="BH133">
            <v>-30</v>
          </cell>
          <cell r="BI133">
            <v>-30</v>
          </cell>
          <cell r="BJ133">
            <v>-30</v>
          </cell>
          <cell r="BK133">
            <v>-30</v>
          </cell>
          <cell r="BL133">
            <v>-30</v>
          </cell>
          <cell r="BM133">
            <v>-30</v>
          </cell>
          <cell r="BN133">
            <v>-30</v>
          </cell>
          <cell r="BO133">
            <v>-30</v>
          </cell>
          <cell r="BP133">
            <v>-30</v>
          </cell>
          <cell r="BQ133">
            <v>-847.53257376300007</v>
          </cell>
          <cell r="BR133">
            <v>-251.58508130699965</v>
          </cell>
          <cell r="BS133">
            <v>-502.86041614299802</v>
          </cell>
          <cell r="BT133">
            <v>-513.11540033984829</v>
          </cell>
          <cell r="BU133">
            <v>-800.08606204484977</v>
          </cell>
          <cell r="BV133">
            <v>-801.29379221685167</v>
          </cell>
          <cell r="BW133">
            <v>-1461.468395869852</v>
          </cell>
          <cell r="BX133">
            <v>-978.65184387285672</v>
          </cell>
          <cell r="BY133">
            <v>-1590.6072204357374</v>
          </cell>
          <cell r="BZ133">
            <v>86.139874999999989</v>
          </cell>
          <cell r="CA133">
            <v>-2.8554246210000165</v>
          </cell>
          <cell r="CB133">
            <v>298.95542462100002</v>
          </cell>
          <cell r="CC133">
            <v>-281.58508130699965</v>
          </cell>
          <cell r="CD133">
            <v>382.23987499999998</v>
          </cell>
          <cell r="CE133">
            <v>-663.82495630699964</v>
          </cell>
          <cell r="CF133">
            <v>-173.66711317258557</v>
          </cell>
        </row>
        <row r="134">
          <cell r="G134" t="str">
            <v>Utilización Portafolio Tesoreria</v>
          </cell>
          <cell r="L134">
            <v>37</v>
          </cell>
          <cell r="N134">
            <v>37</v>
          </cell>
          <cell r="O134">
            <v>-423.47924342399983</v>
          </cell>
          <cell r="P134">
            <v>-424.05333033900024</v>
          </cell>
          <cell r="Q134">
            <v>595.94749245600042</v>
          </cell>
          <cell r="R134">
            <v>-251.27533483599836</v>
          </cell>
          <cell r="S134">
            <v>-10.254984196850273</v>
          </cell>
          <cell r="T134">
            <v>-286.97066170500148</v>
          </cell>
          <cell r="U134">
            <v>-1.2077301720019022</v>
          </cell>
          <cell r="V134">
            <v>-660.1746036530003</v>
          </cell>
          <cell r="W134">
            <v>482.81655199699526</v>
          </cell>
          <cell r="X134">
            <v>-611.9553765628807</v>
          </cell>
          <cell r="Y134">
            <v>405.64961087700249</v>
          </cell>
          <cell r="Z134">
            <v>998.17860344000019</v>
          </cell>
          <cell r="AA134">
            <v>-186.77900611873474</v>
          </cell>
          <cell r="AB134">
            <v>3.4381544544427114E-2</v>
          </cell>
          <cell r="AC134" t="str">
            <v xml:space="preserve"> </v>
          </cell>
          <cell r="AD134">
            <v>3.4381544544427114E-2</v>
          </cell>
          <cell r="AE134">
            <v>0</v>
          </cell>
          <cell r="AF134">
            <v>0</v>
          </cell>
          <cell r="AG134">
            <v>0</v>
          </cell>
          <cell r="AH134">
            <v>0</v>
          </cell>
          <cell r="AI134">
            <v>0</v>
          </cell>
          <cell r="AJ134">
            <v>0</v>
          </cell>
          <cell r="AK134">
            <v>0</v>
          </cell>
          <cell r="AL134">
            <v>0</v>
          </cell>
          <cell r="AM134">
            <v>0</v>
          </cell>
          <cell r="AN134">
            <v>0</v>
          </cell>
          <cell r="AO134">
            <v>0</v>
          </cell>
          <cell r="AP134">
            <v>-423.47924342399983</v>
          </cell>
          <cell r="AQ134">
            <v>-424.05333033900024</v>
          </cell>
          <cell r="AR134">
            <v>595.94749245600042</v>
          </cell>
          <cell r="AS134">
            <v>-251.27533483599836</v>
          </cell>
          <cell r="AT134">
            <v>-10.254984196850273</v>
          </cell>
          <cell r="AU134">
            <v>-286.97066170500148</v>
          </cell>
          <cell r="AV134">
            <v>-1.2077301720019022</v>
          </cell>
          <cell r="AW134">
            <v>-660.1746036530003</v>
          </cell>
          <cell r="AX134">
            <v>482.81655199699526</v>
          </cell>
          <cell r="AY134">
            <v>-847.53257376300007</v>
          </cell>
          <cell r="AZ134">
            <v>-251.58508130699965</v>
          </cell>
          <cell r="BA134">
            <v>-502.86041614299802</v>
          </cell>
          <cell r="BB134">
            <v>-513.11540033984829</v>
          </cell>
          <cell r="BC134">
            <v>-800.08606204484977</v>
          </cell>
          <cell r="BD134">
            <v>-801.29379221685167</v>
          </cell>
          <cell r="BE134">
            <v>-1461.468395869852</v>
          </cell>
          <cell r="BF134">
            <v>-978.65184387285672</v>
          </cell>
          <cell r="BG134">
            <v>-1590.6072204357374</v>
          </cell>
          <cell r="BH134">
            <v>0</v>
          </cell>
          <cell r="BI134">
            <v>0</v>
          </cell>
          <cell r="BJ134">
            <v>0</v>
          </cell>
          <cell r="BK134">
            <v>0</v>
          </cell>
          <cell r="BL134">
            <v>0</v>
          </cell>
          <cell r="BM134">
            <v>0</v>
          </cell>
          <cell r="BN134">
            <v>0</v>
          </cell>
          <cell r="BO134">
            <v>0</v>
          </cell>
          <cell r="BP134">
            <v>0</v>
          </cell>
          <cell r="BQ134">
            <v>-847.53257376300007</v>
          </cell>
          <cell r="BR134">
            <v>-251.58508130699965</v>
          </cell>
          <cell r="BS134">
            <v>-502.86041614299802</v>
          </cell>
          <cell r="BT134">
            <v>-513.11540033984829</v>
          </cell>
          <cell r="BU134">
            <v>-800.08606204484977</v>
          </cell>
          <cell r="BV134">
            <v>-801.29379221685167</v>
          </cell>
          <cell r="BW134">
            <v>-1461.468395869852</v>
          </cell>
          <cell r="BX134">
            <v>-978.65184387285672</v>
          </cell>
          <cell r="BY134">
            <v>-1590.6072204357374</v>
          </cell>
          <cell r="BZ134">
            <v>86.139874999999989</v>
          </cell>
          <cell r="CA134">
            <v>-2.8554246210000165</v>
          </cell>
          <cell r="CB134">
            <v>298.95542462100002</v>
          </cell>
          <cell r="CC134">
            <v>-251.58508130699965</v>
          </cell>
          <cell r="CD134">
            <v>382.23987499999998</v>
          </cell>
          <cell r="CE134">
            <v>-633.82495630699964</v>
          </cell>
          <cell r="CF134">
            <v>-165.81863844189456</v>
          </cell>
          <cell r="CK134">
            <v>100</v>
          </cell>
          <cell r="CL134">
            <v>-100</v>
          </cell>
          <cell r="CM134">
            <v>-200</v>
          </cell>
        </row>
        <row r="135">
          <cell r="G135" t="str">
            <v>Utilización Cartera FSA</v>
          </cell>
          <cell r="M135">
            <v>-105</v>
          </cell>
          <cell r="N135">
            <v>-105</v>
          </cell>
          <cell r="O135">
            <v>-30</v>
          </cell>
          <cell r="P135">
            <v>0</v>
          </cell>
          <cell r="Q135">
            <v>0</v>
          </cell>
          <cell r="R135">
            <v>0</v>
          </cell>
          <cell r="S135">
            <v>0</v>
          </cell>
          <cell r="T135">
            <v>0</v>
          </cell>
          <cell r="U135">
            <v>0</v>
          </cell>
          <cell r="V135">
            <v>0</v>
          </cell>
          <cell r="W135">
            <v>0</v>
          </cell>
          <cell r="X135">
            <v>0</v>
          </cell>
          <cell r="Y135">
            <v>0</v>
          </cell>
          <cell r="Z135">
            <v>0</v>
          </cell>
          <cell r="AA135">
            <v>-30</v>
          </cell>
          <cell r="AB135" t="str">
            <v xml:space="preserve"> </v>
          </cell>
          <cell r="AC135">
            <v>-9.7569248031482342E-2</v>
          </cell>
          <cell r="AD135">
            <v>-9.7569248031482342E-2</v>
          </cell>
          <cell r="AE135">
            <v>-30</v>
          </cell>
          <cell r="AP135">
            <v>0</v>
          </cell>
          <cell r="AQ135">
            <v>0</v>
          </cell>
          <cell r="AR135">
            <v>0</v>
          </cell>
          <cell r="AS135">
            <v>0</v>
          </cell>
          <cell r="AT135">
            <v>0</v>
          </cell>
          <cell r="AU135">
            <v>0</v>
          </cell>
          <cell r="AV135">
            <v>0</v>
          </cell>
          <cell r="AW135">
            <v>0</v>
          </cell>
          <cell r="AX135">
            <v>0</v>
          </cell>
          <cell r="AY135">
            <v>-30</v>
          </cell>
          <cell r="AZ135">
            <v>-30</v>
          </cell>
          <cell r="BA135">
            <v>-30</v>
          </cell>
          <cell r="BB135">
            <v>-30</v>
          </cell>
          <cell r="BC135">
            <v>-30</v>
          </cell>
          <cell r="BD135">
            <v>-30</v>
          </cell>
          <cell r="BE135">
            <v>-30</v>
          </cell>
          <cell r="BF135">
            <v>-30</v>
          </cell>
          <cell r="BG135">
            <v>-30</v>
          </cell>
          <cell r="BH135">
            <v>-30</v>
          </cell>
          <cell r="BI135">
            <v>-30</v>
          </cell>
          <cell r="BJ135">
            <v>-30</v>
          </cell>
          <cell r="BK135">
            <v>-30</v>
          </cell>
          <cell r="BL135">
            <v>-30</v>
          </cell>
          <cell r="BM135">
            <v>-30</v>
          </cell>
          <cell r="BN135">
            <v>-30</v>
          </cell>
          <cell r="BO135">
            <v>-30</v>
          </cell>
          <cell r="BP135">
            <v>-30</v>
          </cell>
          <cell r="BR135">
            <v>0</v>
          </cell>
          <cell r="BW135">
            <v>0</v>
          </cell>
          <cell r="BX135">
            <v>0</v>
          </cell>
          <cell r="BY135">
            <v>0</v>
          </cell>
          <cell r="CC135">
            <v>-30</v>
          </cell>
          <cell r="CD135">
            <v>0</v>
          </cell>
          <cell r="CE135">
            <v>-30</v>
          </cell>
          <cell r="CF135" t="str">
            <v xml:space="preserve">n.a. </v>
          </cell>
        </row>
        <row r="136">
          <cell r="Q136">
            <v>113.60904076154917</v>
          </cell>
          <cell r="R136">
            <v>-30.31941150553935</v>
          </cell>
          <cell r="S136">
            <v>47.558428417285803</v>
          </cell>
          <cell r="T136">
            <v>-21.640834195668504</v>
          </cell>
          <cell r="U136">
            <v>2.8244104159981589</v>
          </cell>
          <cell r="V136">
            <v>-57.23175594150689</v>
          </cell>
          <cell r="W136">
            <v>31.669447855394424</v>
          </cell>
          <cell r="X136">
            <v>5.1598940377396048</v>
          </cell>
          <cell r="Y136">
            <v>-29.310037596407653</v>
          </cell>
          <cell r="Z136">
            <v>-961.60703299351542</v>
          </cell>
          <cell r="AA136">
            <v>-1106.553734344036</v>
          </cell>
          <cell r="AE136">
            <v>-210.15052579043538</v>
          </cell>
          <cell r="AF136">
            <v>-1151.2558269251037</v>
          </cell>
          <cell r="AG136">
            <v>1039.6382495434837</v>
          </cell>
          <cell r="AH136">
            <v>-61.374269149178588</v>
          </cell>
          <cell r="AI136">
            <v>451.23160132242594</v>
          </cell>
          <cell r="AJ136">
            <v>-273.17633927222118</v>
          </cell>
          <cell r="AK136">
            <v>-309.61031192671675</v>
          </cell>
          <cell r="AL136">
            <v>44.178295141698243</v>
          </cell>
          <cell r="AM136">
            <v>771.34997909165463</v>
          </cell>
          <cell r="AN136">
            <v>-209.11460288629979</v>
          </cell>
          <cell r="AO136">
            <v>216.59155491452424</v>
          </cell>
          <cell r="AP136">
            <v>115.52501771650657</v>
          </cell>
          <cell r="AQ136">
            <v>1038.6154513996673</v>
          </cell>
          <cell r="AR136">
            <v>-926.02920878193447</v>
          </cell>
          <cell r="AS136">
            <v>31.054857643639238</v>
          </cell>
          <cell r="AT136">
            <v>-403.67317290514012</v>
          </cell>
          <cell r="AU136">
            <v>251.53550507655268</v>
          </cell>
          <cell r="AV136">
            <v>312.43472234271491</v>
          </cell>
          <cell r="AW136">
            <v>-101.41005108320513</v>
          </cell>
          <cell r="AX136">
            <v>-739.68053123626021</v>
          </cell>
          <cell r="AZ136">
            <v>-93.656842837816058</v>
          </cell>
          <cell r="BA136">
            <v>-123.97625434335541</v>
          </cell>
          <cell r="BB136">
            <v>-76.417825926069611</v>
          </cell>
          <cell r="BC136">
            <v>-98.058660121738114</v>
          </cell>
          <cell r="BD136">
            <v>-95.234249705739956</v>
          </cell>
          <cell r="BE136">
            <v>-152.46600564724685</v>
          </cell>
          <cell r="BF136">
            <v>-120.79655779185242</v>
          </cell>
          <cell r="BG136">
            <v>-115.63666375411282</v>
          </cell>
          <cell r="BI136">
            <v>-321.76810317205536</v>
          </cell>
          <cell r="BJ136">
            <v>-383.14237232123395</v>
          </cell>
          <cell r="BK136">
            <v>68.089229001191995</v>
          </cell>
          <cell r="BL136">
            <v>-205.08711027102919</v>
          </cell>
          <cell r="BM136">
            <v>-514.69742219774594</v>
          </cell>
          <cell r="BN136">
            <v>-470.51912705604769</v>
          </cell>
          <cell r="BO136">
            <v>300.83085203560694</v>
          </cell>
          <cell r="BP136">
            <v>91.716249149307146</v>
          </cell>
          <cell r="BR136">
            <v>228.11126033423932</v>
          </cell>
          <cell r="BS136">
            <v>259.16611797787857</v>
          </cell>
          <cell r="BT136">
            <v>-144.50705492726161</v>
          </cell>
          <cell r="BU136">
            <v>107.02845014929107</v>
          </cell>
          <cell r="BV136">
            <v>419.46317249200598</v>
          </cell>
          <cell r="BW136">
            <v>318.05312140880085</v>
          </cell>
          <cell r="BX136">
            <v>-421.62740982745936</v>
          </cell>
          <cell r="BY136">
            <v>-207.35291290341996</v>
          </cell>
        </row>
        <row r="138">
          <cell r="L138" t="e">
            <v>#REF!</v>
          </cell>
          <cell r="M138" t="e">
            <v>#REF!</v>
          </cell>
          <cell r="N138" t="e">
            <v>#REF!</v>
          </cell>
          <cell r="Q138">
            <v>-0.79000766994919547</v>
          </cell>
          <cell r="R138">
            <v>-0.43049320683379838</v>
          </cell>
          <cell r="S138">
            <v>-0.48403066273858475</v>
          </cell>
          <cell r="T138">
            <v>-3.8852950773584048E-2</v>
          </cell>
          <cell r="U138">
            <v>-0.3206496208671315</v>
          </cell>
          <cell r="V138">
            <v>9.562612705269638E-2</v>
          </cell>
          <cell r="W138">
            <v>-0.65205444179038829</v>
          </cell>
          <cell r="X138">
            <v>-5.8027305690301609E-2</v>
          </cell>
          <cell r="Y138">
            <v>-0.48998102346839589</v>
          </cell>
          <cell r="Z138">
            <v>-0.56185284450601147</v>
          </cell>
          <cell r="AA138">
            <v>-4.2729845599122473</v>
          </cell>
          <cell r="AE138">
            <v>-0.53521054154452552</v>
          </cell>
          <cell r="AF138">
            <v>2.7754264239313552E-2</v>
          </cell>
          <cell r="AG138">
            <v>-1.1456093074019198</v>
          </cell>
          <cell r="AH138">
            <v>-0.35615567751754668</v>
          </cell>
          <cell r="AI138">
            <v>-0.52217327172586681</v>
          </cell>
          <cell r="AJ138">
            <v>-9.847940856806757E-2</v>
          </cell>
          <cell r="AK138">
            <v>-0.34687602043023491</v>
          </cell>
          <cell r="AL138">
            <v>-1.9635869476435593E-2</v>
          </cell>
          <cell r="AM138">
            <v>-0.67223226203119335</v>
          </cell>
          <cell r="AN138">
            <v>-8.2522905259526158E-2</v>
          </cell>
          <cell r="AO138">
            <v>-0.51089136392136736</v>
          </cell>
          <cell r="AP138">
            <v>2.5497384360563369E-2</v>
          </cell>
          <cell r="AQ138">
            <v>-6.0702067402903279E-2</v>
          </cell>
          <cell r="AR138">
            <v>0.35560163745272433</v>
          </cell>
          <cell r="AS138">
            <v>-7.4337529316251705E-2</v>
          </cell>
          <cell r="AT138">
            <v>3.8142608987282056E-2</v>
          </cell>
          <cell r="AU138">
            <v>5.9626457794483521E-2</v>
          </cell>
          <cell r="AV138">
            <v>-2.6226399563103409E-2</v>
          </cell>
          <cell r="AW138">
            <v>-0.11526199652913197</v>
          </cell>
          <cell r="AX138">
            <v>2.0177820240805056E-2</v>
          </cell>
          <cell r="AY138">
            <v>-0.55180097298288122</v>
          </cell>
          <cell r="AZ138">
            <v>-1.3492105135737171</v>
          </cell>
          <cell r="BA138">
            <v>-1.7829788804630282</v>
          </cell>
          <cell r="BB138">
            <v>-2.2703017157357848</v>
          </cell>
          <cell r="BC138">
            <v>-2.3135609162143322</v>
          </cell>
          <cell r="BD138">
            <v>-2.6367398101647255</v>
          </cell>
          <cell r="BE138">
            <v>-2.5440057309838138</v>
          </cell>
          <cell r="BF138">
            <v>-3.2038829918709091</v>
          </cell>
          <cell r="BG138">
            <v>-3.2619102975612089</v>
          </cell>
          <cell r="BH138">
            <v>-0.56135062059688057</v>
          </cell>
          <cell r="BI138">
            <v>-1.6530655847071318</v>
          </cell>
          <cell r="BJ138">
            <v>-2.0092212622246777</v>
          </cell>
          <cell r="BK138">
            <v>-2.5313945339505444</v>
          </cell>
          <cell r="BL138">
            <v>-2.629873942518612</v>
          </cell>
          <cell r="BM138">
            <v>-2.9767499629488472</v>
          </cell>
          <cell r="BN138">
            <v>-2.9963858324252834</v>
          </cell>
          <cell r="BO138">
            <v>-3.6686180944564768</v>
          </cell>
          <cell r="BP138">
            <v>-3.7511409997160028</v>
          </cell>
          <cell r="BQ138">
            <v>9.5496476139996216E-3</v>
          </cell>
          <cell r="BR138">
            <v>0.30385507113341426</v>
          </cell>
          <cell r="BS138">
            <v>0.2262423817616501</v>
          </cell>
          <cell r="BT138">
            <v>0.26109281821475877</v>
          </cell>
          <cell r="BU138">
            <v>0.31631302630427965</v>
          </cell>
          <cell r="BV138">
            <v>0.34001015278412228</v>
          </cell>
          <cell r="BW138">
            <v>0.45238010144146967</v>
          </cell>
          <cell r="BX138">
            <v>0.46473510258556772</v>
          </cell>
          <cell r="BY138">
            <v>0.48923070215479392</v>
          </cell>
          <cell r="BZ138">
            <v>-0.39553762640049328</v>
          </cell>
          <cell r="CA138">
            <v>-4.0176828879510539E-2</v>
          </cell>
          <cell r="CB138">
            <v>-0.71847181882567046</v>
          </cell>
          <cell r="CC138">
            <v>-1.3492105135737171</v>
          </cell>
          <cell r="CD138">
            <v>-1.1541862741056743</v>
          </cell>
          <cell r="CE138">
            <v>-0.19502423946804281</v>
          </cell>
        </row>
        <row r="139">
          <cell r="L139" t="e">
            <v>#REF!</v>
          </cell>
          <cell r="M139" t="e">
            <v>#REF!</v>
          </cell>
          <cell r="N139" t="e">
            <v>#REF!</v>
          </cell>
          <cell r="Q139">
            <v>-0.78861382354874565</v>
          </cell>
          <cell r="R139">
            <v>-0.428913514246622</v>
          </cell>
          <cell r="S139">
            <v>-0.48403066273858475</v>
          </cell>
          <cell r="T139">
            <v>0.45521913663916991</v>
          </cell>
          <cell r="U139">
            <v>-0.32058710341698765</v>
          </cell>
          <cell r="V139">
            <v>9.562612705269638E-2</v>
          </cell>
          <cell r="W139">
            <v>-0.65205444179038829</v>
          </cell>
          <cell r="X139">
            <v>-5.8027305690301609E-2</v>
          </cell>
          <cell r="Y139">
            <v>-0.48998102346839589</v>
          </cell>
          <cell r="Z139">
            <v>-0.56185284450601147</v>
          </cell>
          <cell r="AA139">
            <v>-3.623055930701176</v>
          </cell>
          <cell r="AE139">
            <v>-0.53521054154452552</v>
          </cell>
          <cell r="AF139">
            <v>0.17802058312874625</v>
          </cell>
          <cell r="AG139">
            <v>-1.1456093074019198</v>
          </cell>
          <cell r="AH139">
            <v>-0.35615567751754668</v>
          </cell>
          <cell r="AI139">
            <v>-0.52217327172586681</v>
          </cell>
          <cell r="AJ139">
            <v>-9.847940856806757E-2</v>
          </cell>
          <cell r="AK139">
            <v>0.15026252906350845</v>
          </cell>
          <cell r="AL139">
            <v>-1.9635869476435593E-2</v>
          </cell>
          <cell r="AM139">
            <v>-0.67223226203119335</v>
          </cell>
          <cell r="AN139">
            <v>-8.2522905259526158E-2</v>
          </cell>
          <cell r="AO139">
            <v>-0.51089136392136736</v>
          </cell>
          <cell r="AP139">
            <v>2.5497384360563369E-2</v>
          </cell>
          <cell r="AQ139">
            <v>-5.8147900931788565E-2</v>
          </cell>
          <cell r="AR139">
            <v>0.35699548385317414</v>
          </cell>
          <cell r="AS139">
            <v>-7.275783672907532E-2</v>
          </cell>
          <cell r="AT139">
            <v>3.8142608987282056E-2</v>
          </cell>
          <cell r="AU139">
            <v>0.55369854520723749</v>
          </cell>
          <cell r="AV139">
            <v>0.47084963248049611</v>
          </cell>
          <cell r="AW139">
            <v>-0.11526199652913197</v>
          </cell>
          <cell r="AX139">
            <v>2.0177820240805056E-2</v>
          </cell>
          <cell r="AY139">
            <v>-0.39898048762233385</v>
          </cell>
          <cell r="AZ139">
            <v>-1.1949961818127197</v>
          </cell>
          <cell r="BA139">
            <v>-1.6271848561148543</v>
          </cell>
          <cell r="BB139">
            <v>-2.1145076913876113</v>
          </cell>
          <cell r="BC139">
            <v>-1.6636948044534048</v>
          </cell>
          <cell r="BD139">
            <v>-1.9868111809536542</v>
          </cell>
          <cell r="BE139">
            <v>-1.8940771017727429</v>
          </cell>
          <cell r="BF139">
            <v>-2.5539543626598382</v>
          </cell>
          <cell r="BG139">
            <v>-2.6119816683501371</v>
          </cell>
          <cell r="BH139">
            <v>-0.41108430170744792</v>
          </cell>
          <cell r="BI139">
            <v>-1.5027992658176992</v>
          </cell>
          <cell r="BJ139">
            <v>-1.8589549433352448</v>
          </cell>
          <cell r="BK139">
            <v>-2.3811282150611115</v>
          </cell>
          <cell r="BL139">
            <v>-2.4796076236291791</v>
          </cell>
          <cell r="BM139">
            <v>-2.3293450945656708</v>
          </cell>
          <cell r="BN139">
            <v>-2.3489809640421075</v>
          </cell>
          <cell r="BO139">
            <v>-3.0212132260733009</v>
          </cell>
          <cell r="BP139">
            <v>-3.1037361313328269</v>
          </cell>
          <cell r="BQ139">
            <v>1.2103814085114352E-2</v>
          </cell>
          <cell r="BR139">
            <v>0.30780308400497874</v>
          </cell>
          <cell r="BS139">
            <v>0.23177008722039097</v>
          </cell>
          <cell r="BT139">
            <v>0.26662052367349964</v>
          </cell>
          <cell r="BU139">
            <v>0.81591281917577452</v>
          </cell>
          <cell r="BV139">
            <v>0.34253391361201752</v>
          </cell>
          <cell r="BW139">
            <v>0.45490386226936463</v>
          </cell>
          <cell r="BX139">
            <v>0.46725886341346268</v>
          </cell>
          <cell r="BY139">
            <v>0.49175446298268977</v>
          </cell>
          <cell r="BZ139">
            <v>-0.39553762640049328</v>
          </cell>
          <cell r="CA139">
            <v>-4.0176828879510539E-2</v>
          </cell>
          <cell r="CB139">
            <v>-0.71847181882567046</v>
          </cell>
          <cell r="CC139">
            <v>-1.1949961818127197</v>
          </cell>
          <cell r="CD139">
            <v>-1.1541862741056743</v>
          </cell>
          <cell r="CE139">
            <v>-4.0809907707045401E-2</v>
          </cell>
        </row>
        <row r="140">
          <cell r="AP140">
            <v>0</v>
          </cell>
          <cell r="AQ140">
            <v>0</v>
          </cell>
          <cell r="AR140">
            <v>0</v>
          </cell>
          <cell r="AS140">
            <v>0</v>
          </cell>
          <cell r="AT140">
            <v>0</v>
          </cell>
        </row>
        <row r="141">
          <cell r="N141">
            <v>35781.130642476855</v>
          </cell>
          <cell r="AP141">
            <v>0</v>
          </cell>
          <cell r="AQ141">
            <v>0</v>
          </cell>
          <cell r="AR141">
            <v>0</v>
          </cell>
          <cell r="AS141">
            <v>0</v>
          </cell>
          <cell r="AT141">
            <v>0</v>
          </cell>
        </row>
        <row r="142">
          <cell r="L142" t="e">
            <v>#REF!</v>
          </cell>
          <cell r="M142" t="e">
            <v>#REF!</v>
          </cell>
          <cell r="N142" t="e">
            <v>#REF!</v>
          </cell>
          <cell r="Q142">
            <v>76.535133318163403</v>
          </cell>
          <cell r="R142">
            <v>97.942742984624218</v>
          </cell>
          <cell r="S142">
            <v>53.422788509173181</v>
          </cell>
          <cell r="T142">
            <v>71.912813169509292</v>
          </cell>
          <cell r="U142">
            <v>70.55560521390862</v>
          </cell>
          <cell r="V142">
            <v>127.1873279736335</v>
          </cell>
          <cell r="W142">
            <v>94.59926169735175</v>
          </cell>
          <cell r="X142">
            <v>47.588840544149178</v>
          </cell>
          <cell r="Y142">
            <v>82.058772178296437</v>
          </cell>
          <cell r="Z142">
            <v>961.60703299351542</v>
          </cell>
          <cell r="AA142">
            <v>1106.5537343440355</v>
          </cell>
          <cell r="AE142">
            <v>253.7</v>
          </cell>
          <cell r="AF142">
            <v>1258.9000000000001</v>
          </cell>
          <cell r="AG142">
            <v>307.5</v>
          </cell>
          <cell r="AH142">
            <v>628.6</v>
          </cell>
          <cell r="AI142">
            <v>373.7</v>
          </cell>
          <cell r="AJ142">
            <v>374.7</v>
          </cell>
          <cell r="AP142">
            <v>-16.309425259404492</v>
          </cell>
          <cell r="AR142">
            <v>-230.96486668183661</v>
          </cell>
          <cell r="AS142">
            <v>-530.65725701537576</v>
          </cell>
          <cell r="AT142">
            <v>-320.2772114908268</v>
          </cell>
          <cell r="AY142">
            <v>197.42977902674491</v>
          </cell>
          <cell r="AZ142">
            <v>75.855150407826528</v>
          </cell>
          <cell r="BA142">
            <v>102.64996976197506</v>
          </cell>
          <cell r="BB142">
            <v>51.548641065530546</v>
          </cell>
          <cell r="BH142">
            <v>1303.4074836067064</v>
          </cell>
          <cell r="BI142">
            <v>321.76810317205559</v>
          </cell>
          <cell r="BJ142">
            <v>383.14237232123514</v>
          </cell>
          <cell r="BK142">
            <v>-68.089229001190233</v>
          </cell>
          <cell r="BZ142" t="e">
            <v>#REF!</v>
          </cell>
          <cell r="CA142" t="e">
            <v>#REF!</v>
          </cell>
          <cell r="CB142" t="e">
            <v>#REF!</v>
          </cell>
          <cell r="CC142">
            <v>75.855150407826528</v>
          </cell>
          <cell r="CD142" t="e">
            <v>#REF!</v>
          </cell>
        </row>
        <row r="143">
          <cell r="L143">
            <v>82.168000000000006</v>
          </cell>
          <cell r="N143">
            <v>82.168000000000006</v>
          </cell>
          <cell r="Q143">
            <v>152.01283043028573</v>
          </cell>
          <cell r="R143">
            <v>34.773126812437603</v>
          </cell>
          <cell r="S143">
            <v>66.4884524018901</v>
          </cell>
          <cell r="T143">
            <v>19.435201437592379</v>
          </cell>
          <cell r="U143">
            <v>33.044557190524358</v>
          </cell>
          <cell r="V143">
            <v>41.019891418236647</v>
          </cell>
          <cell r="W143">
            <v>42.606146909500019</v>
          </cell>
          <cell r="X143">
            <v>0</v>
          </cell>
          <cell r="Y143">
            <v>0</v>
          </cell>
          <cell r="AB143">
            <v>7.6353047354769915E-2</v>
          </cell>
          <cell r="AC143" t="str">
            <v xml:space="preserve"> </v>
          </cell>
          <cell r="AD143">
            <v>7.6353047354769915E-2</v>
          </cell>
          <cell r="AE143">
            <v>80.968000000000018</v>
          </cell>
          <cell r="AF143">
            <v>226.39999999999998</v>
          </cell>
          <cell r="AG143">
            <v>643.80000000000007</v>
          </cell>
          <cell r="AH143">
            <v>268.2</v>
          </cell>
          <cell r="AI143">
            <v>165.3</v>
          </cell>
          <cell r="AJ143">
            <v>164.3</v>
          </cell>
          <cell r="AP143">
            <v>1.1970666666666574</v>
          </cell>
          <cell r="AR143">
            <v>-491.78716956971437</v>
          </cell>
          <cell r="AS143">
            <v>-233.42687318756239</v>
          </cell>
          <cell r="AT143">
            <v>-98.811547598109911</v>
          </cell>
          <cell r="AY143">
            <v>-72.329566940000092</v>
          </cell>
          <cell r="AZ143">
            <v>46.319894589999898</v>
          </cell>
          <cell r="BA143">
            <v>25.815792559999913</v>
          </cell>
          <cell r="BH143">
            <v>-545.96420000000012</v>
          </cell>
          <cell r="BI143">
            <v>-168.72200000000001</v>
          </cell>
          <cell r="BJ143">
            <v>-391.11059999999998</v>
          </cell>
          <cell r="BK143">
            <v>78.130235950914539</v>
          </cell>
          <cell r="BQ143">
            <v>473.63463306000006</v>
          </cell>
          <cell r="BR143">
            <v>215.04189458999991</v>
          </cell>
          <cell r="BS143">
            <v>416.9263925599999</v>
          </cell>
          <cell r="BZ143">
            <v>38.049000000000007</v>
          </cell>
          <cell r="CA143">
            <v>40.092517940000093</v>
          </cell>
          <cell r="CB143">
            <v>60.301548543399676</v>
          </cell>
          <cell r="CC143">
            <v>46.319894589999898</v>
          </cell>
          <cell r="CD143">
            <v>-35.185500000000047</v>
          </cell>
          <cell r="CE143">
            <v>81.505394589999952</v>
          </cell>
          <cell r="CF143">
            <v>231.64483832828816</v>
          </cell>
        </row>
        <row r="144">
          <cell r="L144">
            <v>57.8</v>
          </cell>
          <cell r="N144">
            <v>57.8</v>
          </cell>
          <cell r="Q144">
            <v>38.131343649426853</v>
          </cell>
          <cell r="R144">
            <v>32.850204666647272</v>
          </cell>
          <cell r="S144">
            <v>34.492764524568877</v>
          </cell>
          <cell r="T144">
            <v>30.836777536248412</v>
          </cell>
          <cell r="U144">
            <v>40.335458439382421</v>
          </cell>
          <cell r="V144">
            <v>28.935680613889957</v>
          </cell>
          <cell r="W144">
            <v>83.662562643246162</v>
          </cell>
          <cell r="X144">
            <v>52.748734581888783</v>
          </cell>
          <cell r="Y144">
            <v>52.748734581888783</v>
          </cell>
          <cell r="AA144">
            <v>512.93305881892422</v>
          </cell>
          <cell r="AB144">
            <v>5.3709547963996948E-2</v>
          </cell>
          <cell r="AC144" t="str">
            <v xml:space="preserve"> </v>
          </cell>
          <cell r="AD144">
            <v>5.3709547963996948E-2</v>
          </cell>
          <cell r="AE144">
            <v>60.6</v>
          </cell>
          <cell r="AF144">
            <v>50.8</v>
          </cell>
          <cell r="AG144">
            <v>638.6</v>
          </cell>
          <cell r="AH144">
            <v>62.8</v>
          </cell>
          <cell r="AI144">
            <v>165.7</v>
          </cell>
          <cell r="AJ144">
            <v>166.7</v>
          </cell>
          <cell r="AP144">
            <v>0</v>
          </cell>
          <cell r="AQ144">
            <v>6.790797581736669</v>
          </cell>
          <cell r="AR144">
            <v>-600.46865635057316</v>
          </cell>
          <cell r="AS144">
            <v>-29.949795333352725</v>
          </cell>
          <cell r="AT144">
            <v>-131.2072354754311</v>
          </cell>
          <cell r="AY144">
            <v>22.476616515600668</v>
          </cell>
          <cell r="AZ144">
            <v>30.407488795600713</v>
          </cell>
          <cell r="BA144">
            <v>-247.67332709439859</v>
          </cell>
          <cell r="BH144">
            <v>-571.36779999999999</v>
          </cell>
          <cell r="BI144">
            <v>2.7899999999999991</v>
          </cell>
          <cell r="BJ144">
            <v>-378.46139999999997</v>
          </cell>
          <cell r="BK144">
            <v>237.14163595091455</v>
          </cell>
          <cell r="BQ144">
            <v>593.84441651560064</v>
          </cell>
          <cell r="BR144">
            <v>27.617488795600714</v>
          </cell>
          <cell r="BS144">
            <v>130.78807290560138</v>
          </cell>
          <cell r="BZ144">
            <v>39</v>
          </cell>
          <cell r="CA144">
            <v>57.800574999999995</v>
          </cell>
          <cell r="CB144">
            <v>13.047924379000294</v>
          </cell>
          <cell r="CC144">
            <v>30.407488795600713</v>
          </cell>
          <cell r="CD144">
            <v>31.245587999999653</v>
          </cell>
          <cell r="CE144">
            <v>-0.83809920439894015</v>
          </cell>
          <cell r="CF144">
            <v>-2.6822961513764731</v>
          </cell>
        </row>
        <row r="145">
          <cell r="AP145">
            <v>0</v>
          </cell>
          <cell r="AQ145">
            <v>0</v>
          </cell>
          <cell r="AR145">
            <v>0</v>
          </cell>
          <cell r="AS145">
            <v>0</v>
          </cell>
          <cell r="AT145">
            <v>0</v>
          </cell>
        </row>
        <row r="146">
          <cell r="Q146">
            <v>66.711860024399471</v>
          </cell>
          <cell r="R146">
            <v>96.791493494399347</v>
          </cell>
          <cell r="S146">
            <v>27.433528871040053</v>
          </cell>
          <cell r="T146">
            <v>22.233528871040054</v>
          </cell>
          <cell r="U146">
            <v>16.033528871040055</v>
          </cell>
          <cell r="V146">
            <v>8.8335288710400555</v>
          </cell>
          <cell r="AP146">
            <v>86.35228332999958</v>
          </cell>
          <cell r="AQ146">
            <v>187.00347658439969</v>
          </cell>
          <cell r="AR146">
            <v>66.711860024399471</v>
          </cell>
          <cell r="AS146">
            <v>96.791493494399347</v>
          </cell>
          <cell r="AT146">
            <v>27.433528871040053</v>
          </cell>
        </row>
        <row r="147">
          <cell r="Q147">
            <v>9.8232732937639327</v>
          </cell>
          <cell r="R147">
            <v>1.1512494902248704</v>
          </cell>
          <cell r="S147">
            <v>25.989259638133127</v>
          </cell>
          <cell r="T147">
            <v>49.679284298469241</v>
          </cell>
          <cell r="U147">
            <v>54.522076342868566</v>
          </cell>
          <cell r="V147">
            <v>118.35379910259344</v>
          </cell>
          <cell r="AP147">
            <v>151.03829141059592</v>
          </cell>
          <cell r="AQ147">
            <v>16.211476176744696</v>
          </cell>
          <cell r="AR147">
            <v>9.8232732937639327</v>
          </cell>
          <cell r="AS147">
            <v>1.1512494902248704</v>
          </cell>
          <cell r="AT147">
            <v>25.989259638133127</v>
          </cell>
        </row>
        <row r="148">
          <cell r="AP148">
            <v>0</v>
          </cell>
          <cell r="AQ148">
            <v>0</v>
          </cell>
          <cell r="AR148">
            <v>0</v>
          </cell>
          <cell r="AS148">
            <v>0</v>
          </cell>
          <cell r="AT148">
            <v>0</v>
          </cell>
        </row>
        <row r="149">
          <cell r="AP149">
            <v>0</v>
          </cell>
          <cell r="AQ149">
            <v>0</v>
          </cell>
          <cell r="AR149">
            <v>0</v>
          </cell>
          <cell r="AS149">
            <v>0</v>
          </cell>
          <cell r="AT149">
            <v>0</v>
          </cell>
        </row>
        <row r="150">
          <cell r="L150">
            <v>1118.2606389705827</v>
          </cell>
          <cell r="Q150">
            <v>1062.0999999999999</v>
          </cell>
          <cell r="R150">
            <v>1060.5999999999999</v>
          </cell>
          <cell r="S150">
            <v>1075.2</v>
          </cell>
          <cell r="T150">
            <v>0</v>
          </cell>
          <cell r="U150">
            <v>0</v>
          </cell>
          <cell r="AP150">
            <v>1027.0999999999999</v>
          </cell>
          <cell r="AQ150">
            <v>1074.2</v>
          </cell>
          <cell r="AR150">
            <v>1062.0999999999999</v>
          </cell>
          <cell r="AS150">
            <v>1060.5999999999999</v>
          </cell>
          <cell r="AT150">
            <v>1075.2</v>
          </cell>
        </row>
        <row r="151">
          <cell r="L151" t="e">
            <v>#REF!</v>
          </cell>
          <cell r="AE151">
            <v>-23.5</v>
          </cell>
          <cell r="AF151">
            <v>-23.5</v>
          </cell>
          <cell r="AG151">
            <v>23.5</v>
          </cell>
          <cell r="AH151">
            <v>23.5</v>
          </cell>
          <cell r="AP151">
            <v>23.5</v>
          </cell>
          <cell r="AQ151">
            <v>23.5</v>
          </cell>
          <cell r="AR151">
            <v>-23.5</v>
          </cell>
          <cell r="AS151">
            <v>-23.5</v>
          </cell>
          <cell r="AT151">
            <v>0</v>
          </cell>
        </row>
        <row r="152">
          <cell r="Q152">
            <v>54.716666666666669</v>
          </cell>
          <cell r="R152">
            <v>54.716666666666669</v>
          </cell>
          <cell r="S152">
            <v>54.716666666666669</v>
          </cell>
          <cell r="T152">
            <v>54.716666666666669</v>
          </cell>
          <cell r="U152">
            <v>54.716666666666669</v>
          </cell>
          <cell r="V152">
            <v>54.716666666666669</v>
          </cell>
          <cell r="W152">
            <v>54.716666666666669</v>
          </cell>
          <cell r="X152">
            <v>54.716666666666669</v>
          </cell>
          <cell r="Y152">
            <v>54.716666666666669</v>
          </cell>
          <cell r="Z152">
            <v>54.716666666666669</v>
          </cell>
          <cell r="AP152">
            <v>54.716666666666669</v>
          </cell>
          <cell r="AQ152">
            <v>54.716666666666669</v>
          </cell>
          <cell r="AR152">
            <v>54.716666666666669</v>
          </cell>
          <cell r="AS152">
            <v>54.716666666666669</v>
          </cell>
          <cell r="AT152">
            <v>54.716666666666669</v>
          </cell>
        </row>
        <row r="153">
          <cell r="Q153">
            <v>1.6583333333333332</v>
          </cell>
          <cell r="R153">
            <v>1.6583333333333332</v>
          </cell>
          <cell r="S153">
            <v>1.6583333333333332</v>
          </cell>
          <cell r="T153">
            <v>1.6583333333333332</v>
          </cell>
          <cell r="U153">
            <v>1.6583333333333332</v>
          </cell>
          <cell r="V153">
            <v>1.6583333333333332</v>
          </cell>
          <cell r="W153">
            <v>1.6583333333333332</v>
          </cell>
          <cell r="X153">
            <v>1.6583333333333332</v>
          </cell>
          <cell r="Y153">
            <v>1.6583333333333332</v>
          </cell>
          <cell r="Z153">
            <v>1.6583333333333332</v>
          </cell>
          <cell r="AP153">
            <v>1.6583333333333332</v>
          </cell>
          <cell r="AQ153">
            <v>1.6583333333333332</v>
          </cell>
          <cell r="AR153">
            <v>1.6583333333333332</v>
          </cell>
          <cell r="AS153">
            <v>1.6583333333333332</v>
          </cell>
          <cell r="AT153">
            <v>1.6583333333333332</v>
          </cell>
        </row>
        <row r="164">
          <cell r="L164" t="str">
            <v>TESORERIA</v>
          </cell>
          <cell r="M164" t="str">
            <v>RESTO</v>
          </cell>
          <cell r="N164" t="str">
            <v>TOTAL</v>
          </cell>
          <cell r="Q164" t="str">
            <v>Observ.</v>
          </cell>
          <cell r="R164" t="str">
            <v>Observ.</v>
          </cell>
          <cell r="S164" t="str">
            <v>Observ.</v>
          </cell>
          <cell r="T164" t="str">
            <v>Observ.</v>
          </cell>
          <cell r="U164" t="str">
            <v>Observ.</v>
          </cell>
          <cell r="V164" t="str">
            <v>Observ.</v>
          </cell>
          <cell r="W164" t="str">
            <v>Observ.</v>
          </cell>
          <cell r="X164" t="str">
            <v>Observ.</v>
          </cell>
          <cell r="Y164" t="str">
            <v>Observ.</v>
          </cell>
          <cell r="Z164" t="str">
            <v>Observ.</v>
          </cell>
          <cell r="AA164" t="str">
            <v xml:space="preserve">Total </v>
          </cell>
          <cell r="AB164" t="str">
            <v>% PIB</v>
          </cell>
          <cell r="AC164" t="str">
            <v>% PIB</v>
          </cell>
          <cell r="AD164" t="str">
            <v>% PIB</v>
          </cell>
          <cell r="AE164" t="str">
            <v>Progr.</v>
          </cell>
          <cell r="AF164" t="str">
            <v>Progr.</v>
          </cell>
          <cell r="AG164" t="str">
            <v>Progr.</v>
          </cell>
          <cell r="AH164" t="str">
            <v>Progr.</v>
          </cell>
          <cell r="AI164" t="str">
            <v>Progr.</v>
          </cell>
          <cell r="AJ164" t="str">
            <v>Progr.</v>
          </cell>
          <cell r="AK164" t="str">
            <v>Progr.</v>
          </cell>
          <cell r="AL164" t="str">
            <v>Progr.</v>
          </cell>
          <cell r="AM164" t="str">
            <v>Progr.</v>
          </cell>
          <cell r="AP164" t="str">
            <v>Observ.-Prog.</v>
          </cell>
          <cell r="AQ164" t="str">
            <v>Observ.-Prog.</v>
          </cell>
          <cell r="AR164" t="str">
            <v>Observ.-Prog.</v>
          </cell>
          <cell r="AS164" t="str">
            <v>Observ.-Prog.</v>
          </cell>
          <cell r="AT164" t="str">
            <v>Observ.-Prog.</v>
          </cell>
          <cell r="AU164" t="str">
            <v>Observ-Prog</v>
          </cell>
          <cell r="AV164" t="str">
            <v>Observ-Prog</v>
          </cell>
          <cell r="AW164" t="str">
            <v>Observ-Prog</v>
          </cell>
          <cell r="AY164" t="str">
            <v>Observ.</v>
          </cell>
          <cell r="AZ164" t="str">
            <v>Observ.</v>
          </cell>
          <cell r="BA164" t="str">
            <v>Observ.</v>
          </cell>
          <cell r="BB164" t="str">
            <v>Observ.</v>
          </cell>
          <cell r="BC164" t="str">
            <v>Observ.</v>
          </cell>
          <cell r="BD164" t="str">
            <v>Observ.</v>
          </cell>
          <cell r="BE164" t="str">
            <v>Observ.</v>
          </cell>
          <cell r="BH164" t="str">
            <v>Progr.</v>
          </cell>
          <cell r="BI164" t="str">
            <v>Progr.</v>
          </cell>
          <cell r="BJ164" t="str">
            <v>Progr.</v>
          </cell>
          <cell r="BK164" t="str">
            <v>Progr.</v>
          </cell>
          <cell r="BL164" t="str">
            <v>Progr.</v>
          </cell>
          <cell r="BM164" t="str">
            <v>Progr.</v>
          </cell>
          <cell r="BN164" t="str">
            <v>Progr.</v>
          </cell>
          <cell r="BQ164" t="str">
            <v>Observ-Progr</v>
          </cell>
          <cell r="BR164" t="str">
            <v>Observ-Progr</v>
          </cell>
          <cell r="BS164" t="str">
            <v>Observ-Progr</v>
          </cell>
          <cell r="BT164" t="str">
            <v>Observ-Progr</v>
          </cell>
          <cell r="BU164" t="str">
            <v>Observ-Progr</v>
          </cell>
          <cell r="BV164" t="str">
            <v>Observ-Progr</v>
          </cell>
          <cell r="BW164" t="str">
            <v>Observ-Progr</v>
          </cell>
          <cell r="BZ164" t="str">
            <v>% PIB Observ.</v>
          </cell>
          <cell r="CA164" t="str">
            <v>% PIB Progr</v>
          </cell>
        </row>
        <row r="165">
          <cell r="L165" t="str">
            <v>CSF</v>
          </cell>
          <cell r="M165" t="str">
            <v>SSF</v>
          </cell>
          <cell r="N165" t="str">
            <v>CSF+SSF</v>
          </cell>
          <cell r="Q165">
            <v>35490</v>
          </cell>
          <cell r="R165">
            <v>35521</v>
          </cell>
          <cell r="S165">
            <v>35551</v>
          </cell>
          <cell r="T165">
            <v>35582</v>
          </cell>
          <cell r="U165">
            <v>35612</v>
          </cell>
          <cell r="V165">
            <v>35643</v>
          </cell>
          <cell r="W165">
            <v>35674</v>
          </cell>
          <cell r="X165">
            <v>35704</v>
          </cell>
          <cell r="Y165">
            <v>35735</v>
          </cell>
          <cell r="Z165">
            <v>35765</v>
          </cell>
          <cell r="AA165">
            <v>1997</v>
          </cell>
          <cell r="AB165" t="str">
            <v>CSF</v>
          </cell>
          <cell r="AC165" t="str">
            <v>SSF</v>
          </cell>
          <cell r="AD165" t="str">
            <v>CSF+SSF</v>
          </cell>
          <cell r="AE165" t="str">
            <v>Ene</v>
          </cell>
          <cell r="AF165" t="str">
            <v>Feb</v>
          </cell>
          <cell r="AG165" t="str">
            <v>Mar</v>
          </cell>
          <cell r="AH165" t="str">
            <v>Abr</v>
          </cell>
          <cell r="AI165" t="str">
            <v>May</v>
          </cell>
          <cell r="AJ165" t="str">
            <v>Jun</v>
          </cell>
          <cell r="AK165" t="str">
            <v>Jul</v>
          </cell>
          <cell r="AL165" t="str">
            <v>Ago</v>
          </cell>
          <cell r="AM165" t="str">
            <v>Sep</v>
          </cell>
          <cell r="AP165" t="str">
            <v>Enero</v>
          </cell>
          <cell r="AQ165" t="str">
            <v>Febrero</v>
          </cell>
          <cell r="AR165" t="str">
            <v>Marzo</v>
          </cell>
          <cell r="AS165" t="str">
            <v>Abril</v>
          </cell>
          <cell r="AT165" t="str">
            <v>Mayo</v>
          </cell>
          <cell r="AU165" t="str">
            <v>Junio</v>
          </cell>
          <cell r="AV165" t="str">
            <v>Julio</v>
          </cell>
          <cell r="AW165" t="str">
            <v>Agosto</v>
          </cell>
          <cell r="AY165" t="str">
            <v>Ene-Feb</v>
          </cell>
          <cell r="AZ165" t="str">
            <v>Ene-Mar</v>
          </cell>
          <cell r="BA165" t="str">
            <v>Ene-Abr</v>
          </cell>
          <cell r="BB165" t="str">
            <v>Ene-May</v>
          </cell>
          <cell r="BC165" t="str">
            <v>Ene-Jun</v>
          </cell>
          <cell r="BD165" t="str">
            <v>Ene-Jul</v>
          </cell>
          <cell r="BE165" t="str">
            <v>Ene-Agos</v>
          </cell>
          <cell r="BH165" t="str">
            <v>Ene-Feb</v>
          </cell>
          <cell r="BI165" t="str">
            <v>Ene-Mar</v>
          </cell>
          <cell r="BJ165" t="str">
            <v>Ene-Abr</v>
          </cell>
          <cell r="BK165" t="str">
            <v>Ene-May</v>
          </cell>
          <cell r="BL165" t="str">
            <v>Ene-Jun</v>
          </cell>
          <cell r="BM165" t="str">
            <v>Ene-Jul</v>
          </cell>
          <cell r="BN165" t="str">
            <v>Ene-Agos</v>
          </cell>
          <cell r="BQ165" t="str">
            <v>Ene-Feb</v>
          </cell>
          <cell r="BR165" t="str">
            <v>Ene-Mar</v>
          </cell>
          <cell r="BS165" t="str">
            <v>Ene-Abr</v>
          </cell>
          <cell r="BT165" t="str">
            <v>Ene-May</v>
          </cell>
          <cell r="BU165" t="str">
            <v>Ene-Jun</v>
          </cell>
          <cell r="BV165" t="str">
            <v>Ene-Jul</v>
          </cell>
          <cell r="BW165" t="str">
            <v>Ene-Agos</v>
          </cell>
          <cell r="BZ165" t="str">
            <v>Ene-Jun</v>
          </cell>
          <cell r="CA165" t="str">
            <v>Ene-Jun</v>
          </cell>
        </row>
        <row r="166">
          <cell r="Q166">
            <v>1109.4225440623406</v>
          </cell>
          <cell r="R166">
            <v>1134.5557351198786</v>
          </cell>
          <cell r="S166">
            <v>1176.195992173285</v>
          </cell>
          <cell r="T166">
            <v>1370.897725629982</v>
          </cell>
          <cell r="U166">
            <v>1496.0323988665925</v>
          </cell>
          <cell r="V166">
            <v>1513.2518808554255</v>
          </cell>
          <cell r="W166">
            <v>1283.5524586979645</v>
          </cell>
          <cell r="X166">
            <v>1327.6792521698108</v>
          </cell>
          <cell r="Y166">
            <v>939.49260787227013</v>
          </cell>
          <cell r="Z166">
            <v>1423.5621228785751</v>
          </cell>
          <cell r="AA166">
            <v>13585.217358032784</v>
          </cell>
          <cell r="AB166">
            <v>12.086825027770352</v>
          </cell>
          <cell r="AC166" t="e">
            <v>#VALUE!</v>
          </cell>
          <cell r="AD166">
            <v>12.086825027770352</v>
          </cell>
          <cell r="AE166">
            <v>726.33585039237164</v>
          </cell>
          <cell r="AF166">
            <v>1438.1227019431008</v>
          </cell>
          <cell r="AG166">
            <v>1024.6103000000001</v>
          </cell>
          <cell r="AH166">
            <v>1219.2702560502198</v>
          </cell>
          <cell r="AI166">
            <v>1025.0579905407249</v>
          </cell>
          <cell r="AJ166">
            <v>1318.5125198987557</v>
          </cell>
          <cell r="AK166">
            <v>1386.8531636086091</v>
          </cell>
          <cell r="AL166">
            <v>1364.2976459563383</v>
          </cell>
          <cell r="AP166">
            <v>13.374136032745128</v>
          </cell>
          <cell r="AQ166">
            <v>-120.63932571623809</v>
          </cell>
          <cell r="AR166">
            <v>84.812244062340596</v>
          </cell>
          <cell r="AS166">
            <v>-84.714520930341223</v>
          </cell>
          <cell r="AT166">
            <v>151.13800163256019</v>
          </cell>
          <cell r="AU166">
            <v>52.385205731226279</v>
          </cell>
          <cell r="AV166">
            <v>109.17923525798346</v>
          </cell>
          <cell r="AW166">
            <v>148.95423489908717</v>
          </cell>
          <cell r="AY166">
            <v>2057.1933626519794</v>
          </cell>
          <cell r="AZ166">
            <v>3166.6159067143203</v>
          </cell>
          <cell r="BA166">
            <v>4301.1716418341994</v>
          </cell>
          <cell r="BB166">
            <v>5477.3676340074853</v>
          </cell>
          <cell r="BC166">
            <v>6848.2653596374657</v>
          </cell>
          <cell r="BD166">
            <v>8344.2977585040589</v>
          </cell>
          <cell r="BE166">
            <v>9857.549639359484</v>
          </cell>
          <cell r="BH166">
            <v>2106.4596832266393</v>
          </cell>
          <cell r="BI166">
            <v>3189.068852335472</v>
          </cell>
          <cell r="BJ166">
            <v>4408.3391083856923</v>
          </cell>
          <cell r="BK166">
            <v>5433.3970989264171</v>
          </cell>
          <cell r="BL166">
            <v>6751.9096188251733</v>
          </cell>
          <cell r="BM166">
            <v>8138.7627824337824</v>
          </cell>
          <cell r="BN166">
            <v>9503.0604283901212</v>
          </cell>
          <cell r="BQ166">
            <v>-49.266320574659602</v>
          </cell>
          <cell r="BR166">
            <v>-22.452945621152274</v>
          </cell>
          <cell r="BS166">
            <v>-107.16746655149332</v>
          </cell>
          <cell r="BT166">
            <v>43.970535081066949</v>
          </cell>
          <cell r="BU166">
            <v>96.355740812292964</v>
          </cell>
          <cell r="BV166">
            <v>205.53497607027657</v>
          </cell>
          <cell r="BW166">
            <v>354.48921096936283</v>
          </cell>
          <cell r="BZ166">
            <v>6.1338717767530824</v>
          </cell>
          <cell r="CA166">
            <v>6.047567621166456</v>
          </cell>
        </row>
        <row r="167">
          <cell r="Q167">
            <v>918.67541202805035</v>
          </cell>
          <cell r="R167">
            <v>1041.3214851985499</v>
          </cell>
          <cell r="S167">
            <v>1060.4619888837797</v>
          </cell>
          <cell r="T167">
            <v>1183.4589118603099</v>
          </cell>
          <cell r="U167">
            <v>1175.3498713699</v>
          </cell>
          <cell r="V167">
            <v>1300.8273561133799</v>
          </cell>
          <cell r="W167">
            <v>1030.2689678214899</v>
          </cell>
          <cell r="X167">
            <v>1285.17972252666</v>
          </cell>
          <cell r="Y167">
            <v>916.57072490871997</v>
          </cell>
          <cell r="Z167">
            <v>1367.4223958232524</v>
          </cell>
          <cell r="AA167">
            <v>13075.612779912504</v>
          </cell>
          <cell r="AB167">
            <v>11.611762310490025</v>
          </cell>
          <cell r="AC167" t="e">
            <v>#VALUE!</v>
          </cell>
          <cell r="AD167">
            <v>11.611762310490025</v>
          </cell>
          <cell r="AE167">
            <v>653.77829999999994</v>
          </cell>
          <cell r="AF167">
            <v>1354.6194</v>
          </cell>
          <cell r="AG167">
            <v>786.88030000000003</v>
          </cell>
          <cell r="AH167">
            <v>1121.4405222222222</v>
          </cell>
          <cell r="AI167">
            <v>935.23733791019799</v>
          </cell>
          <cell r="AJ167">
            <v>1193.5068379101976</v>
          </cell>
          <cell r="AK167">
            <v>1019.9875954975064</v>
          </cell>
          <cell r="AL167">
            <v>1247.3770828528786</v>
          </cell>
          <cell r="AP167">
            <v>-76.766353117949848</v>
          </cell>
          <cell r="AQ167">
            <v>-135.55540350363995</v>
          </cell>
          <cell r="AR167">
            <v>131.7951120280502</v>
          </cell>
          <cell r="AS167">
            <v>-80.119037023672178</v>
          </cell>
          <cell r="AT167">
            <v>125.22465097358187</v>
          </cell>
          <cell r="AU167">
            <v>-10.047926049887893</v>
          </cell>
          <cell r="AV167">
            <v>155.36227587239364</v>
          </cell>
          <cell r="AW167">
            <v>53.450273260501262</v>
          </cell>
          <cell r="AY167">
            <v>1796.0759433784101</v>
          </cell>
          <cell r="AZ167">
            <v>2714.7513554064603</v>
          </cell>
          <cell r="BA167">
            <v>3756.0728406050102</v>
          </cell>
          <cell r="BB167">
            <v>4816.5348294887908</v>
          </cell>
          <cell r="BC167">
            <v>5999.9937413490998</v>
          </cell>
          <cell r="BD167">
            <v>7175.3436127189998</v>
          </cell>
          <cell r="BE167">
            <v>8476.170968832379</v>
          </cell>
          <cell r="BH167">
            <v>2008.3977</v>
          </cell>
          <cell r="BI167">
            <v>2795.2779999999998</v>
          </cell>
          <cell r="BJ167">
            <v>3916.7185222222224</v>
          </cell>
          <cell r="BK167">
            <v>4851.9558601324197</v>
          </cell>
          <cell r="BL167">
            <v>6045.4626980426183</v>
          </cell>
          <cell r="BM167">
            <v>7065.4502935401251</v>
          </cell>
          <cell r="BN167">
            <v>8312.8273763930047</v>
          </cell>
          <cell r="BQ167">
            <v>-212.32175662158997</v>
          </cell>
          <cell r="BR167">
            <v>-80.526644593539771</v>
          </cell>
          <cell r="BS167">
            <v>-160.64568161721201</v>
          </cell>
          <cell r="BT167">
            <v>-35.421030643630175</v>
          </cell>
          <cell r="BU167">
            <v>-45.468956693518301</v>
          </cell>
          <cell r="BV167">
            <v>109.89331917887466</v>
          </cell>
          <cell r="BW167">
            <v>163.34359243937433</v>
          </cell>
          <cell r="BZ167">
            <v>5.3740896910432614</v>
          </cell>
          <cell r="CA167">
            <v>5.4148154420961596</v>
          </cell>
        </row>
        <row r="168">
          <cell r="Q168">
            <v>612.18613506100019</v>
          </cell>
          <cell r="R168">
            <v>752.90155518899996</v>
          </cell>
          <cell r="S168">
            <v>709.49727737799981</v>
          </cell>
          <cell r="T168">
            <v>851.27870428699998</v>
          </cell>
          <cell r="U168">
            <v>803.17442898100001</v>
          </cell>
          <cell r="V168">
            <v>972.70713087999991</v>
          </cell>
          <cell r="W168">
            <v>690.39096822800002</v>
          </cell>
          <cell r="X168">
            <v>919.5669539930002</v>
          </cell>
          <cell r="Y168">
            <v>560.75002455699996</v>
          </cell>
          <cell r="Z168">
            <v>976.01564914280027</v>
          </cell>
          <cell r="AA168">
            <v>9152.5181370445007</v>
          </cell>
          <cell r="AB168">
            <v>8.0643945886236565</v>
          </cell>
          <cell r="AC168" t="e">
            <v>#VALUE!</v>
          </cell>
          <cell r="AD168">
            <v>8.0643945886236565</v>
          </cell>
          <cell r="AE168">
            <v>372.33579999999995</v>
          </cell>
          <cell r="AF168">
            <v>1072.5493999999999</v>
          </cell>
          <cell r="AG168">
            <v>494.41030000000001</v>
          </cell>
          <cell r="AH168">
            <v>798.19579999999996</v>
          </cell>
          <cell r="AI168">
            <v>600.26139999999998</v>
          </cell>
          <cell r="AJ168">
            <v>857.12189999999987</v>
          </cell>
          <cell r="AK168">
            <v>668.19430000000011</v>
          </cell>
          <cell r="AL168">
            <v>897.23910000000001</v>
          </cell>
          <cell r="AP168">
            <v>-28.368856882299951</v>
          </cell>
          <cell r="AQ168">
            <v>-112.46703376999994</v>
          </cell>
          <cell r="AR168">
            <v>117.77583506100018</v>
          </cell>
          <cell r="AS168">
            <v>-45.294244810999999</v>
          </cell>
          <cell r="AT168">
            <v>109.23587737799983</v>
          </cell>
          <cell r="AU168">
            <v>-5.8431957129998864</v>
          </cell>
          <cell r="AV168">
            <v>134.98012898099989</v>
          </cell>
          <cell r="AW168">
            <v>75.468030879999901</v>
          </cell>
          <cell r="AY168">
            <v>1304.0493093476998</v>
          </cell>
          <cell r="AZ168">
            <v>1916.2354444087</v>
          </cell>
          <cell r="BA168">
            <v>2669.1369995977002</v>
          </cell>
          <cell r="BB168">
            <v>3378.6342769757002</v>
          </cell>
          <cell r="BC168">
            <v>4229.9129812626998</v>
          </cell>
          <cell r="BD168">
            <v>5033.0874102437001</v>
          </cell>
          <cell r="BE168">
            <v>6005.7945411236997</v>
          </cell>
          <cell r="BH168">
            <v>1444.8851999999999</v>
          </cell>
          <cell r="BI168">
            <v>1939.2954999999999</v>
          </cell>
          <cell r="BJ168">
            <v>2737.4913000000001</v>
          </cell>
          <cell r="BK168">
            <v>3337.7527</v>
          </cell>
          <cell r="BL168">
            <v>4194.8746000000001</v>
          </cell>
          <cell r="BM168">
            <v>4863.0688999999993</v>
          </cell>
          <cell r="BN168">
            <v>5760.3079999999991</v>
          </cell>
          <cell r="BQ168">
            <v>-140.83589065230001</v>
          </cell>
          <cell r="BR168">
            <v>-23.060055591299829</v>
          </cell>
          <cell r="BS168">
            <v>-68.354300402299941</v>
          </cell>
          <cell r="BT168">
            <v>40.881576975699772</v>
          </cell>
          <cell r="BU168">
            <v>35.038381262699659</v>
          </cell>
          <cell r="BV168">
            <v>170.0185102437008</v>
          </cell>
          <cell r="BW168">
            <v>245.48654112370059</v>
          </cell>
          <cell r="BZ168">
            <v>3.7886592430849206</v>
          </cell>
          <cell r="CA168">
            <v>3.7572759764263166</v>
          </cell>
        </row>
        <row r="169">
          <cell r="Q169">
            <v>547.25089320100017</v>
          </cell>
          <cell r="R169">
            <v>273.53488764100001</v>
          </cell>
          <cell r="S169">
            <v>633.26266243399982</v>
          </cell>
          <cell r="T169">
            <v>407.06395279499992</v>
          </cell>
          <cell r="U169">
            <v>716.37736025599997</v>
          </cell>
          <cell r="V169">
            <v>457.37705655100001</v>
          </cell>
          <cell r="W169">
            <v>587.30996725600005</v>
          </cell>
          <cell r="AE169">
            <v>300.03099999999995</v>
          </cell>
          <cell r="AF169">
            <v>412.96669999999995</v>
          </cell>
          <cell r="AG169">
            <v>411.47919999999999</v>
          </cell>
          <cell r="AH169">
            <v>256.96799999999996</v>
          </cell>
          <cell r="AI169">
            <v>517.72820000000002</v>
          </cell>
          <cell r="AJ169">
            <v>367.72089999999997</v>
          </cell>
          <cell r="AK169">
            <v>564.85660000000007</v>
          </cell>
          <cell r="AL169">
            <v>375.6336</v>
          </cell>
          <cell r="AP169">
            <v>-56.474356882299986</v>
          </cell>
          <cell r="AQ169">
            <v>-44.584800674999997</v>
          </cell>
          <cell r="AR169">
            <v>135.77169320100018</v>
          </cell>
          <cell r="AT169">
            <v>115.53446243399981</v>
          </cell>
          <cell r="AU169">
            <v>39.343052794999949</v>
          </cell>
          <cell r="AV169">
            <v>151.5207602559999</v>
          </cell>
          <cell r="AW169">
            <v>81.743456551000008</v>
          </cell>
          <cell r="AY169">
            <v>611.93854244269994</v>
          </cell>
          <cell r="AZ169">
            <v>1159.1894356437001</v>
          </cell>
          <cell r="BA169">
            <v>1432.7243232847002</v>
          </cell>
          <cell r="BB169">
            <v>2065.9869857187</v>
          </cell>
          <cell r="BC169">
            <v>2473.0509385136997</v>
          </cell>
          <cell r="BD169">
            <v>3189.4282987696997</v>
          </cell>
          <cell r="BE169">
            <v>3646.8053553206996</v>
          </cell>
          <cell r="BH169">
            <v>712.9976999999999</v>
          </cell>
          <cell r="BI169">
            <v>1124.4768999999999</v>
          </cell>
          <cell r="BJ169">
            <v>1381.4449</v>
          </cell>
          <cell r="BK169">
            <v>1899.1731</v>
          </cell>
          <cell r="BL169">
            <v>2266.8939999999998</v>
          </cell>
          <cell r="BM169">
            <v>2831.7505999999998</v>
          </cell>
          <cell r="BN169">
            <v>3207.3842</v>
          </cell>
          <cell r="BQ169">
            <v>-101.05915755729995</v>
          </cell>
          <cell r="BR169">
            <v>34.712535643700221</v>
          </cell>
          <cell r="BS169">
            <v>51.279423284700215</v>
          </cell>
          <cell r="BT169">
            <v>166.81388571870002</v>
          </cell>
          <cell r="BU169">
            <v>206.15693851369997</v>
          </cell>
          <cell r="BV169">
            <v>357.67769876969987</v>
          </cell>
          <cell r="BW169">
            <v>439.42115532069965</v>
          </cell>
          <cell r="BZ169">
            <v>2.2150685695720389</v>
          </cell>
          <cell r="CA169">
            <v>2.0304173972935824</v>
          </cell>
        </row>
        <row r="170">
          <cell r="Q170">
            <v>64.935241859999991</v>
          </cell>
          <cell r="R170">
            <v>479.36666754800001</v>
          </cell>
          <cell r="S170">
            <v>76.234614944000015</v>
          </cell>
          <cell r="T170">
            <v>444.214751492</v>
          </cell>
          <cell r="U170">
            <v>86.797068725000017</v>
          </cell>
          <cell r="V170">
            <v>515.3300743289999</v>
          </cell>
          <cell r="W170">
            <v>103.08100097199998</v>
          </cell>
          <cell r="AE170">
            <v>72.3048</v>
          </cell>
          <cell r="AF170">
            <v>659.58270000000005</v>
          </cell>
          <cell r="AG170">
            <v>82.931100000000001</v>
          </cell>
          <cell r="AH170">
            <v>541.2278</v>
          </cell>
          <cell r="AI170">
            <v>82.533199999999994</v>
          </cell>
          <cell r="AJ170">
            <v>489.40099999999995</v>
          </cell>
          <cell r="AK170">
            <v>103.3377</v>
          </cell>
          <cell r="AL170">
            <v>521.60550000000001</v>
          </cell>
          <cell r="AP170">
            <v>28.105500000000006</v>
          </cell>
          <cell r="AQ170">
            <v>-67.882233095000061</v>
          </cell>
          <cell r="AR170">
            <v>-17.99585814000001</v>
          </cell>
          <cell r="AT170">
            <v>-6.298585055999979</v>
          </cell>
          <cell r="AU170">
            <v>-45.186248507999949</v>
          </cell>
          <cell r="AV170">
            <v>-16.540631274999981</v>
          </cell>
          <cell r="AW170">
            <v>-6.2754256710001073</v>
          </cell>
          <cell r="AY170">
            <v>692.11076690499999</v>
          </cell>
          <cell r="AZ170">
            <v>757.04600876500001</v>
          </cell>
          <cell r="BA170">
            <v>1236.412676313</v>
          </cell>
          <cell r="BB170">
            <v>1312.647291257</v>
          </cell>
          <cell r="BC170">
            <v>1756.862042749</v>
          </cell>
          <cell r="BD170">
            <v>1843.6591114739999</v>
          </cell>
          <cell r="BE170">
            <v>2358.9891858029996</v>
          </cell>
          <cell r="BH170">
            <v>731.88750000000005</v>
          </cell>
          <cell r="BI170">
            <v>814.81860000000006</v>
          </cell>
          <cell r="BJ170">
            <v>1356.0464000000002</v>
          </cell>
          <cell r="BK170">
            <v>1438.5796000000003</v>
          </cell>
          <cell r="BL170">
            <v>1927.9806000000003</v>
          </cell>
          <cell r="BM170">
            <v>2031.3183000000004</v>
          </cell>
          <cell r="BN170">
            <v>2552.9238000000005</v>
          </cell>
          <cell r="BQ170">
            <v>-39.776733095000054</v>
          </cell>
          <cell r="BR170">
            <v>-57.77259123500005</v>
          </cell>
          <cell r="BS170">
            <v>-119.63372368700016</v>
          </cell>
          <cell r="BT170">
            <v>-125.93230874300025</v>
          </cell>
          <cell r="BU170">
            <v>-171.11855725100031</v>
          </cell>
          <cell r="BV170">
            <v>-187.65918852600043</v>
          </cell>
          <cell r="BW170">
            <v>-193.93461419700088</v>
          </cell>
          <cell r="BZ170">
            <v>1.573590673512882</v>
          </cell>
          <cell r="CA170">
            <v>1.726858579132734</v>
          </cell>
        </row>
        <row r="171">
          <cell r="Q171">
            <v>230.41582564200002</v>
          </cell>
          <cell r="R171">
            <v>208.70567652300002</v>
          </cell>
          <cell r="S171">
            <v>278.76066448540001</v>
          </cell>
          <cell r="T171">
            <v>262.92810880995995</v>
          </cell>
          <cell r="U171">
            <v>309.66857646900002</v>
          </cell>
          <cell r="V171">
            <v>275.746238785</v>
          </cell>
          <cell r="W171">
            <v>299.01292254214991</v>
          </cell>
          <cell r="X171">
            <v>317.95930432717</v>
          </cell>
          <cell r="Y171">
            <v>308.058088183</v>
          </cell>
          <cell r="Z171">
            <v>340.72488169626354</v>
          </cell>
          <cell r="AA171">
            <v>3197.1848572169438</v>
          </cell>
          <cell r="AB171">
            <v>2.7631307308090571</v>
          </cell>
          <cell r="AC171" t="e">
            <v>#VALUE!</v>
          </cell>
          <cell r="AD171">
            <v>2.7631307308090571</v>
          </cell>
          <cell r="AE171">
            <v>220</v>
          </cell>
          <cell r="AF171">
            <v>220</v>
          </cell>
          <cell r="AG171">
            <v>220</v>
          </cell>
          <cell r="AH171">
            <v>240</v>
          </cell>
          <cell r="AI171">
            <v>250</v>
          </cell>
          <cell r="AJ171">
            <v>250</v>
          </cell>
          <cell r="AK171">
            <v>267.2</v>
          </cell>
          <cell r="AL171">
            <v>267.5</v>
          </cell>
          <cell r="AP171">
            <v>-44.580802537000011</v>
          </cell>
          <cell r="AQ171">
            <v>-30.214627709000013</v>
          </cell>
          <cell r="AR171">
            <v>10.415825642000016</v>
          </cell>
          <cell r="AS171">
            <v>-31.294323476999978</v>
          </cell>
          <cell r="AT171">
            <v>28.760664485400014</v>
          </cell>
          <cell r="AU171">
            <v>12.928108809959951</v>
          </cell>
          <cell r="AV171">
            <v>42.468576469000027</v>
          </cell>
          <cell r="AW171">
            <v>8.2462387850000027</v>
          </cell>
          <cell r="AY171">
            <v>365.20456975399998</v>
          </cell>
          <cell r="AZ171">
            <v>595.62039539600005</v>
          </cell>
          <cell r="BA171">
            <v>804.32607191900001</v>
          </cell>
          <cell r="BB171">
            <v>1083.0867364044002</v>
          </cell>
          <cell r="BC171">
            <v>1346.0148452143601</v>
          </cell>
          <cell r="BD171">
            <v>1655.6834216833599</v>
          </cell>
          <cell r="BE171">
            <v>1931.42966046836</v>
          </cell>
          <cell r="BH171">
            <v>440.00000000000006</v>
          </cell>
          <cell r="BI171">
            <v>660</v>
          </cell>
          <cell r="BJ171">
            <v>900</v>
          </cell>
          <cell r="BK171">
            <v>1150</v>
          </cell>
          <cell r="BL171">
            <v>1400</v>
          </cell>
          <cell r="BM171">
            <v>1667.2</v>
          </cell>
          <cell r="BN171">
            <v>1934.7</v>
          </cell>
          <cell r="BQ171">
            <v>-74.79543024600008</v>
          </cell>
          <cell r="BR171">
            <v>-64.379604604000065</v>
          </cell>
          <cell r="BS171">
            <v>-95.673928080999985</v>
          </cell>
          <cell r="BT171">
            <v>-66.913263595599915</v>
          </cell>
          <cell r="BU171">
            <v>-53.985154785639963</v>
          </cell>
          <cell r="BV171">
            <v>-11.516578316640107</v>
          </cell>
          <cell r="BW171">
            <v>-3.2703395316400474</v>
          </cell>
          <cell r="BZ171">
            <v>1.2056020081832963</v>
          </cell>
          <cell r="CA171">
            <v>1.2539555692551199</v>
          </cell>
        </row>
        <row r="172">
          <cell r="Q172">
            <v>87.581100000000021</v>
          </cell>
          <cell r="R172">
            <v>75.481886342485012</v>
          </cell>
          <cell r="S172">
            <v>100.79985627792065</v>
          </cell>
          <cell r="T172">
            <v>96.822372804126232</v>
          </cell>
          <cell r="U172">
            <v>119.95336933611877</v>
          </cell>
          <cell r="V172">
            <v>106.80132008960814</v>
          </cell>
          <cell r="W172">
            <v>121.30396975051718</v>
          </cell>
          <cell r="X172">
            <v>123.15117546677656</v>
          </cell>
          <cell r="Y172">
            <v>120.73640728030996</v>
          </cell>
          <cell r="Z172">
            <v>131.96731670782302</v>
          </cell>
          <cell r="AA172">
            <v>1221.3033438096857</v>
          </cell>
          <cell r="AB172">
            <v>1.0069033117662627</v>
          </cell>
          <cell r="AC172" t="str">
            <v xml:space="preserve"> </v>
          </cell>
          <cell r="AD172">
            <v>1.0069033117662627</v>
          </cell>
          <cell r="AE172">
            <v>79.530992176990523</v>
          </cell>
          <cell r="AF172">
            <v>79.5</v>
          </cell>
          <cell r="AG172">
            <v>79.5</v>
          </cell>
          <cell r="AH172">
            <v>86.8</v>
          </cell>
          <cell r="AI172">
            <v>90.4</v>
          </cell>
          <cell r="AJ172">
            <v>90.4</v>
          </cell>
          <cell r="AK172">
            <v>96.6</v>
          </cell>
          <cell r="AL172">
            <v>96.7</v>
          </cell>
          <cell r="AP172">
            <v>-17.211794713990507</v>
          </cell>
          <cell r="AQ172">
            <v>-5.1146277089999614</v>
          </cell>
          <cell r="AR172">
            <v>8.0811000000000206</v>
          </cell>
          <cell r="AS172">
            <v>-11.318113657514985</v>
          </cell>
          <cell r="AT172">
            <v>10.399856277920648</v>
          </cell>
          <cell r="AU172">
            <v>6.4223728041262262</v>
          </cell>
          <cell r="AV172">
            <v>23.353369336118774</v>
          </cell>
          <cell r="AW172">
            <v>10.101320089608137</v>
          </cell>
          <cell r="AY172">
            <v>136.70456975400006</v>
          </cell>
          <cell r="AZ172">
            <v>224.28566975400008</v>
          </cell>
          <cell r="BA172">
            <v>299.76755609648512</v>
          </cell>
          <cell r="BB172">
            <v>400.56741237440576</v>
          </cell>
          <cell r="BC172">
            <v>497.38978517853201</v>
          </cell>
          <cell r="BD172">
            <v>617.34315451465079</v>
          </cell>
          <cell r="BE172">
            <v>724.1444746042589</v>
          </cell>
          <cell r="BH172">
            <v>159.03099217699054</v>
          </cell>
          <cell r="BI172">
            <v>238.53099217699054</v>
          </cell>
          <cell r="BJ172">
            <v>325.33099217699055</v>
          </cell>
          <cell r="BK172">
            <v>415.73099217699053</v>
          </cell>
          <cell r="BL172">
            <v>506.1309921769905</v>
          </cell>
          <cell r="BM172">
            <v>602.73099217699053</v>
          </cell>
          <cell r="BN172">
            <v>699.43099217699057</v>
          </cell>
          <cell r="BQ172">
            <v>-22.326422422990476</v>
          </cell>
          <cell r="BR172">
            <v>-14.245322422990455</v>
          </cell>
          <cell r="BS172">
            <v>-25.563436080505426</v>
          </cell>
          <cell r="BT172">
            <v>-15.163579802584763</v>
          </cell>
          <cell r="BU172">
            <v>-8.7412069984584946</v>
          </cell>
          <cell r="BV172">
            <v>14.612162337660266</v>
          </cell>
          <cell r="BW172">
            <v>24.713482427268332</v>
          </cell>
          <cell r="BZ172">
            <v>0.44550335086801984</v>
          </cell>
          <cell r="CA172">
            <v>0.45333269743782617</v>
          </cell>
        </row>
        <row r="173">
          <cell r="Q173">
            <v>142.834725642</v>
          </cell>
          <cell r="R173">
            <v>133.22379018051501</v>
          </cell>
          <cell r="S173">
            <v>177.96080820747937</v>
          </cell>
          <cell r="T173">
            <v>166.10573600583371</v>
          </cell>
          <cell r="U173">
            <v>189.71520713288123</v>
          </cell>
          <cell r="V173">
            <v>168.94491869539186</v>
          </cell>
          <cell r="W173">
            <v>177.70895279163273</v>
          </cell>
          <cell r="X173">
            <v>194.80812886039345</v>
          </cell>
          <cell r="Y173">
            <v>187.32168090269005</v>
          </cell>
          <cell r="Z173">
            <v>208.75756498844049</v>
          </cell>
          <cell r="AA173">
            <v>1975.8815134072579</v>
          </cell>
          <cell r="AB173">
            <v>1.7562274190427944</v>
          </cell>
          <cell r="AC173" t="str">
            <v xml:space="preserve"> </v>
          </cell>
          <cell r="AD173">
            <v>1.7562274190427944</v>
          </cell>
          <cell r="AE173">
            <v>140.46900782300949</v>
          </cell>
          <cell r="AF173">
            <v>140.5</v>
          </cell>
          <cell r="AG173">
            <v>140.5</v>
          </cell>
          <cell r="AH173">
            <v>153.19999999999999</v>
          </cell>
          <cell r="AI173">
            <v>159.6</v>
          </cell>
          <cell r="AJ173">
            <v>159.6</v>
          </cell>
          <cell r="AK173">
            <v>170.6</v>
          </cell>
          <cell r="AL173">
            <v>170.8</v>
          </cell>
          <cell r="AP173">
            <v>-27.369007823009511</v>
          </cell>
          <cell r="AQ173">
            <v>-25.100000000000065</v>
          </cell>
          <cell r="AR173">
            <v>2.3347256419999951</v>
          </cell>
          <cell r="AS173">
            <v>-19.976209819484978</v>
          </cell>
          <cell r="AT173">
            <v>18.36080820747938</v>
          </cell>
          <cell r="AU173">
            <v>6.505736005833711</v>
          </cell>
          <cell r="AV173">
            <v>19.115207132881238</v>
          </cell>
          <cell r="AW173">
            <v>-1.8550813046081487</v>
          </cell>
          <cell r="AY173">
            <v>228.49999999999991</v>
          </cell>
          <cell r="AZ173">
            <v>371.33472564199991</v>
          </cell>
          <cell r="BA173">
            <v>504.55851582251489</v>
          </cell>
          <cell r="BB173">
            <v>682.51932402999432</v>
          </cell>
          <cell r="BC173">
            <v>848.62506003582803</v>
          </cell>
          <cell r="BD173">
            <v>1038.3402671687093</v>
          </cell>
          <cell r="BE173">
            <v>1207.2851858641011</v>
          </cell>
          <cell r="BH173">
            <v>280.96900782300952</v>
          </cell>
          <cell r="BI173">
            <v>421.46900782300952</v>
          </cell>
          <cell r="BJ173">
            <v>574.66900782300945</v>
          </cell>
          <cell r="BK173">
            <v>734.26900782300947</v>
          </cell>
          <cell r="BL173">
            <v>893.8690078230095</v>
          </cell>
          <cell r="BM173">
            <v>1064.4690078230094</v>
          </cell>
          <cell r="BN173">
            <v>1235.2690078230094</v>
          </cell>
          <cell r="BQ173">
            <v>-52.469007823009605</v>
          </cell>
          <cell r="BR173">
            <v>-50.13428218100961</v>
          </cell>
          <cell r="BS173">
            <v>-70.11049200049456</v>
          </cell>
          <cell r="BT173">
            <v>-51.749683793015151</v>
          </cell>
          <cell r="BU173">
            <v>-45.243947787181469</v>
          </cell>
          <cell r="BV173">
            <v>-26.128740654300145</v>
          </cell>
          <cell r="BW173">
            <v>-27.983821958908266</v>
          </cell>
          <cell r="BZ173">
            <v>0.76009865731527637</v>
          </cell>
          <cell r="CA173">
            <v>0.80062287181729352</v>
          </cell>
        </row>
        <row r="174">
          <cell r="Q174">
            <v>48.755678719580004</v>
          </cell>
          <cell r="R174">
            <v>61.927547688800004</v>
          </cell>
          <cell r="S174">
            <v>56.177978153059996</v>
          </cell>
          <cell r="T174">
            <v>65.378911245259999</v>
          </cell>
          <cell r="U174">
            <v>60.214436816019997</v>
          </cell>
          <cell r="V174">
            <v>49.163226856559994</v>
          </cell>
          <cell r="W174">
            <v>38.87063087264</v>
          </cell>
          <cell r="X174">
            <v>45.708496023000002</v>
          </cell>
          <cell r="Y174">
            <v>45.870645472</v>
          </cell>
          <cell r="Z174">
            <v>50.682198984188432</v>
          </cell>
          <cell r="AA174">
            <v>634.42619069857847</v>
          </cell>
          <cell r="AB174">
            <v>0.73449525917993053</v>
          </cell>
          <cell r="AC174" t="str">
            <v xml:space="preserve"> </v>
          </cell>
          <cell r="AD174">
            <v>0.73449525917993053</v>
          </cell>
          <cell r="AE174">
            <v>60.442500000000003</v>
          </cell>
          <cell r="AF174">
            <v>60.4</v>
          </cell>
          <cell r="AG174">
            <v>60.4</v>
          </cell>
          <cell r="AH174">
            <v>67.674722222222201</v>
          </cell>
          <cell r="AI174">
            <v>68.014937910197958</v>
          </cell>
          <cell r="AJ174">
            <v>68.014937910197958</v>
          </cell>
          <cell r="AK174">
            <v>67.71493791019796</v>
          </cell>
          <cell r="AL174">
            <v>67.989937910197952</v>
          </cell>
          <cell r="AP174">
            <v>-4.2526461975098897</v>
          </cell>
          <cell r="AQ174">
            <v>-4.913413935020003</v>
          </cell>
          <cell r="AR174">
            <v>-11.644321280419994</v>
          </cell>
          <cell r="AS174">
            <v>-5.7471745334221964</v>
          </cell>
          <cell r="AT174">
            <v>-11.836959757137961</v>
          </cell>
          <cell r="AU174">
            <v>-2.6360266649379582</v>
          </cell>
          <cell r="AV174">
            <v>-7.5005010941779631</v>
          </cell>
          <cell r="AW174">
            <v>-18.826711053637958</v>
          </cell>
          <cell r="AY174">
            <v>111.67643986747011</v>
          </cell>
          <cell r="AZ174">
            <v>160.43211858705013</v>
          </cell>
          <cell r="BA174">
            <v>222.35966627585015</v>
          </cell>
          <cell r="BB174">
            <v>278.53764442891014</v>
          </cell>
          <cell r="BC174">
            <v>343.91655567417013</v>
          </cell>
          <cell r="BD174">
            <v>404.13099249019012</v>
          </cell>
          <cell r="BE174">
            <v>453.29421934675014</v>
          </cell>
          <cell r="BH174">
            <v>120.8425</v>
          </cell>
          <cell r="BI174">
            <v>181.24250000000001</v>
          </cell>
          <cell r="BJ174">
            <v>248.91722222222222</v>
          </cell>
          <cell r="BK174">
            <v>316.93216013242017</v>
          </cell>
          <cell r="BL174">
            <v>384.94709804261811</v>
          </cell>
          <cell r="BM174">
            <v>452.66203595281604</v>
          </cell>
          <cell r="BN174">
            <v>520.65197386301395</v>
          </cell>
          <cell r="BQ174">
            <v>-9.1660601325298927</v>
          </cell>
          <cell r="BR174">
            <v>-20.81038141294988</v>
          </cell>
          <cell r="BS174">
            <v>-26.557555946372077</v>
          </cell>
          <cell r="BT174">
            <v>-38.394515703510024</v>
          </cell>
          <cell r="BU174">
            <v>-41.030542368447982</v>
          </cell>
          <cell r="BV174">
            <v>-48.531043462625917</v>
          </cell>
          <cell r="BW174">
            <v>-67.35775451626381</v>
          </cell>
          <cell r="BZ174">
            <v>0.30804005739047435</v>
          </cell>
          <cell r="CA174">
            <v>0.34479039818509827</v>
          </cell>
        </row>
        <row r="175">
          <cell r="Q175">
            <v>27.317772605470001</v>
          </cell>
          <cell r="R175">
            <v>17.786705797749999</v>
          </cell>
          <cell r="S175">
            <v>16.026068867319999</v>
          </cell>
          <cell r="T175">
            <v>3.8731875180900004</v>
          </cell>
          <cell r="U175">
            <v>2.29242910388</v>
          </cell>
          <cell r="V175">
            <v>3.2107595918200014</v>
          </cell>
          <cell r="W175">
            <v>1.9944461786999981</v>
          </cell>
          <cell r="X175">
            <v>1.9449681834900003</v>
          </cell>
          <cell r="Y175">
            <v>1.891966696719994</v>
          </cell>
          <cell r="Z175">
            <v>-3.3399999999872421E-4</v>
          </cell>
          <cell r="AA175">
            <v>91.483594952479976</v>
          </cell>
          <cell r="AB175">
            <v>4.974173187738333E-2</v>
          </cell>
          <cell r="AC175" t="e">
            <v>#VALUE!</v>
          </cell>
          <cell r="AD175">
            <v>4.974173187738333E-2</v>
          </cell>
          <cell r="AE175">
            <v>1</v>
          </cell>
          <cell r="AF175">
            <v>1.67</v>
          </cell>
          <cell r="AG175">
            <v>12.07</v>
          </cell>
          <cell r="AH175">
            <v>15.57</v>
          </cell>
          <cell r="AI175">
            <v>16.960999999999999</v>
          </cell>
          <cell r="AJ175">
            <v>18.37</v>
          </cell>
          <cell r="AK175">
            <v>16.878357587308294</v>
          </cell>
          <cell r="AL175">
            <v>14.648044942680542</v>
          </cell>
          <cell r="AP175">
            <v>0.43595249885999721</v>
          </cell>
          <cell r="AQ175">
            <v>12.039671910380003</v>
          </cell>
          <cell r="AR175">
            <v>15.247772605470001</v>
          </cell>
          <cell r="AS175">
            <v>2.2167057977499987</v>
          </cell>
          <cell r="AT175">
            <v>-0.93493113267999917</v>
          </cell>
          <cell r="AU175">
            <v>-14.49681248191</v>
          </cell>
          <cell r="AV175">
            <v>-14.585928483428294</v>
          </cell>
          <cell r="AW175">
            <v>-11.437285350860542</v>
          </cell>
          <cell r="AY175">
            <v>15.14562440924</v>
          </cell>
          <cell r="AZ175">
            <v>42.463397014709997</v>
          </cell>
          <cell r="BA175">
            <v>60.25010281246</v>
          </cell>
          <cell r="BB175">
            <v>76.276171679779992</v>
          </cell>
          <cell r="BC175">
            <v>80.149359197869998</v>
          </cell>
          <cell r="BD175">
            <v>82.441788301749995</v>
          </cell>
          <cell r="BE175">
            <v>85.652547893570002</v>
          </cell>
          <cell r="BH175">
            <v>2.67</v>
          </cell>
          <cell r="BI175">
            <v>14.74</v>
          </cell>
          <cell r="BJ175">
            <v>30.310000000000002</v>
          </cell>
          <cell r="BK175">
            <v>47.271000000000001</v>
          </cell>
          <cell r="BL175">
            <v>65.641000000000005</v>
          </cell>
          <cell r="BM175">
            <v>82.519357587308292</v>
          </cell>
          <cell r="BN175">
            <v>97.167402529988834</v>
          </cell>
          <cell r="BQ175">
            <v>12.47562440924</v>
          </cell>
          <cell r="BR175">
            <v>27.723397014709995</v>
          </cell>
          <cell r="BS175">
            <v>29.940102812459994</v>
          </cell>
          <cell r="BT175">
            <v>29.005171679779991</v>
          </cell>
          <cell r="BU175">
            <v>14.508359197869986</v>
          </cell>
          <cell r="BV175">
            <v>-7.7569285558297452E-2</v>
          </cell>
          <cell r="BW175">
            <v>-11.514854636418832</v>
          </cell>
          <cell r="BZ175">
            <v>7.1788382384570096E-2</v>
          </cell>
          <cell r="CA175">
            <v>5.8793498229625228E-2</v>
          </cell>
        </row>
        <row r="176">
          <cell r="Q176">
            <v>35.094471764150001</v>
          </cell>
          <cell r="R176">
            <v>35.14656270695</v>
          </cell>
          <cell r="S176">
            <v>29.180717095710001</v>
          </cell>
          <cell r="T176">
            <v>31.759557582969997</v>
          </cell>
          <cell r="U176">
            <v>26.012900590530002</v>
          </cell>
          <cell r="V176">
            <v>28.550581069179998</v>
          </cell>
          <cell r="W176">
            <v>29.711161721580002</v>
          </cell>
          <cell r="X176">
            <v>29.501093009100003</v>
          </cell>
          <cell r="Y176">
            <v>16.481547299860001</v>
          </cell>
          <cell r="Z176">
            <v>54.881081765122673</v>
          </cell>
          <cell r="AA176">
            <v>407.57820320317273</v>
          </cell>
          <cell r="AB176">
            <v>0.3597821418076097</v>
          </cell>
          <cell r="AC176" t="e">
            <v>#VALUE!</v>
          </cell>
          <cell r="AD176">
            <v>0.3597821418076097</v>
          </cell>
          <cell r="AE176">
            <v>29.198869108833222</v>
          </cell>
          <cell r="AF176">
            <v>28.8</v>
          </cell>
          <cell r="AG176">
            <v>31.3</v>
          </cell>
          <cell r="AH176">
            <v>27.130943987791408</v>
          </cell>
          <cell r="AI176">
            <v>30.444743670989389</v>
          </cell>
          <cell r="AJ176">
            <v>28.784751352719894</v>
          </cell>
          <cell r="AK176">
            <v>31.027972937692418</v>
          </cell>
          <cell r="AL176">
            <v>31.818774086118658</v>
          </cell>
          <cell r="AP176">
            <v>6.3351749155667676</v>
          </cell>
          <cell r="AQ176">
            <v>26.924484573620003</v>
          </cell>
          <cell r="AR176">
            <v>3.7944717641499999</v>
          </cell>
          <cell r="AS176">
            <v>8.0156187191585921</v>
          </cell>
          <cell r="AT176">
            <v>-1.264026575279388</v>
          </cell>
          <cell r="AU176">
            <v>2.9748062302501026</v>
          </cell>
          <cell r="AV176">
            <v>-5.0150723471624161</v>
          </cell>
          <cell r="AW176">
            <v>-3.2681930169386604</v>
          </cell>
          <cell r="AY176">
            <v>91.258528598020007</v>
          </cell>
          <cell r="AZ176">
            <v>126.35300036216999</v>
          </cell>
          <cell r="BA176">
            <v>161.49956306912</v>
          </cell>
          <cell r="BB176">
            <v>190.68028016483001</v>
          </cell>
          <cell r="BC176">
            <v>222.43983774780003</v>
          </cell>
          <cell r="BD176">
            <v>248.45273833832999</v>
          </cell>
          <cell r="BE176">
            <v>277.00331940750999</v>
          </cell>
          <cell r="BH176">
            <v>0</v>
          </cell>
          <cell r="BI176">
            <v>89.29886910883323</v>
          </cell>
          <cell r="BJ176">
            <v>116.42981309662463</v>
          </cell>
          <cell r="BK176">
            <v>146.87455676761402</v>
          </cell>
          <cell r="BL176">
            <v>175.65930812033389</v>
          </cell>
          <cell r="BM176">
            <v>206.68728105802634</v>
          </cell>
          <cell r="BN176">
            <v>238.50605514414499</v>
          </cell>
          <cell r="BQ176">
            <v>91.258528598020007</v>
          </cell>
          <cell r="BR176">
            <v>37.05413125333677</v>
          </cell>
          <cell r="BS176">
            <v>45.069749972495373</v>
          </cell>
          <cell r="BT176">
            <v>43.805723397215992</v>
          </cell>
          <cell r="BU176">
            <v>46.780529627466109</v>
          </cell>
          <cell r="BV176">
            <v>41.76545728030365</v>
          </cell>
          <cell r="BW176">
            <v>38.497264263364997</v>
          </cell>
          <cell r="BZ176">
            <v>0.19923548097718502</v>
          </cell>
          <cell r="CA176">
            <v>0.15733497693499554</v>
          </cell>
        </row>
        <row r="177">
          <cell r="Q177">
            <v>22.9039720259</v>
          </cell>
          <cell r="R177">
            <v>25.0219692973</v>
          </cell>
          <cell r="S177">
            <v>21.114573597</v>
          </cell>
          <cell r="T177">
            <v>20.491068197259999</v>
          </cell>
          <cell r="U177">
            <v>18.793302554930001</v>
          </cell>
          <cell r="V177">
            <v>20.673125192440001</v>
          </cell>
          <cell r="W177">
            <v>21.788663787080001</v>
          </cell>
          <cell r="X177">
            <v>23.042011341850003</v>
          </cell>
          <cell r="Y177">
            <v>10.44828470136</v>
          </cell>
          <cell r="Z177">
            <v>47.236163857398111</v>
          </cell>
          <cell r="AA177">
            <v>281.14187918592813</v>
          </cell>
          <cell r="AB177">
            <v>0.31086268638339837</v>
          </cell>
          <cell r="AC177" t="str">
            <v xml:space="preserve"> </v>
          </cell>
          <cell r="AD177">
            <v>0.31086268638339837</v>
          </cell>
          <cell r="AE177">
            <v>22</v>
          </cell>
          <cell r="AF177">
            <v>22</v>
          </cell>
          <cell r="AG177">
            <v>22</v>
          </cell>
          <cell r="AH177">
            <v>23</v>
          </cell>
          <cell r="AI177">
            <v>26.92924657871426</v>
          </cell>
          <cell r="AJ177">
            <v>26.854149303394049</v>
          </cell>
          <cell r="AK177">
            <v>26.855239421008392</v>
          </cell>
          <cell r="AL177">
            <v>29.218076853133606</v>
          </cell>
          <cell r="AP177">
            <v>0.79152494470999457</v>
          </cell>
          <cell r="AQ177">
            <v>4.8372196887000065</v>
          </cell>
          <cell r="AR177">
            <v>0.90397202589999992</v>
          </cell>
          <cell r="AS177">
            <v>2.0219692973000001</v>
          </cell>
          <cell r="AT177">
            <v>-5.8146729817142599</v>
          </cell>
          <cell r="AU177">
            <v>-6.3630811061340502</v>
          </cell>
          <cell r="AV177">
            <v>-8.0619368660783906</v>
          </cell>
          <cell r="AW177">
            <v>-8.5449516606936058</v>
          </cell>
          <cell r="AY177">
            <v>49.628744633410001</v>
          </cell>
          <cell r="AZ177">
            <v>72.532716659309997</v>
          </cell>
          <cell r="BA177">
            <v>97.554685956610001</v>
          </cell>
          <cell r="BB177">
            <v>118.66925955361</v>
          </cell>
          <cell r="BC177">
            <v>139.16032775087001</v>
          </cell>
          <cell r="BD177">
            <v>157.9536303058</v>
          </cell>
          <cell r="BE177">
            <v>178.62675549824002</v>
          </cell>
          <cell r="BH177">
            <v>0</v>
          </cell>
          <cell r="BI177">
            <v>66</v>
          </cell>
          <cell r="BJ177">
            <v>89</v>
          </cell>
          <cell r="BK177">
            <v>115.92924657871426</v>
          </cell>
          <cell r="BL177">
            <v>142.78339588210829</v>
          </cell>
          <cell r="BM177">
            <v>169.6386353031167</v>
          </cell>
          <cell r="BN177">
            <v>198.8567121562503</v>
          </cell>
          <cell r="BQ177">
            <v>49.628744633410001</v>
          </cell>
          <cell r="BR177">
            <v>6.5327166593099975</v>
          </cell>
          <cell r="BS177">
            <v>8.5546859566100011</v>
          </cell>
          <cell r="BT177">
            <v>2.7400129748957482</v>
          </cell>
          <cell r="BU177">
            <v>-3.6230681312382842</v>
          </cell>
          <cell r="BV177">
            <v>-11.685004997316696</v>
          </cell>
          <cell r="BW177">
            <v>-20.229956658010281</v>
          </cell>
          <cell r="BZ177">
            <v>0.12464347714469375</v>
          </cell>
          <cell r="CA177">
            <v>0.12788859604537731</v>
          </cell>
        </row>
        <row r="178">
          <cell r="Q178">
            <v>12.190499738249997</v>
          </cell>
          <cell r="R178">
            <v>10.12459340965</v>
          </cell>
          <cell r="S178">
            <v>8.0661434987099998</v>
          </cell>
          <cell r="T178">
            <v>11.26848938571</v>
          </cell>
          <cell r="U178">
            <v>7.2195980356000007</v>
          </cell>
          <cell r="V178">
            <v>7.8774558767399991</v>
          </cell>
          <cell r="W178">
            <v>7.9224979344999999</v>
          </cell>
          <cell r="X178">
            <v>6.4590816672500004</v>
          </cell>
          <cell r="Y178">
            <v>6.0332625985000004</v>
          </cell>
          <cell r="Z178">
            <v>7.6449179077245635</v>
          </cell>
          <cell r="AA178">
            <v>126.43632401724457</v>
          </cell>
          <cell r="AB178">
            <v>4.8919455424211347E-2</v>
          </cell>
          <cell r="AC178" t="str">
            <v xml:space="preserve"> </v>
          </cell>
          <cell r="AD178">
            <v>4.8919455424211347E-2</v>
          </cell>
          <cell r="AE178">
            <v>7.19886910883322</v>
          </cell>
          <cell r="AF178">
            <v>6.8000000000000007</v>
          </cell>
          <cell r="AG178">
            <v>9.3000000000000007</v>
          </cell>
          <cell r="AH178">
            <v>4.1309439877914071</v>
          </cell>
          <cell r="AI178">
            <v>3.5154970922751296</v>
          </cell>
          <cell r="AJ178">
            <v>1.9306020493258464</v>
          </cell>
          <cell r="AK178">
            <v>4.1727335166840263</v>
          </cell>
          <cell r="AL178">
            <v>2.6006972329850533</v>
          </cell>
          <cell r="AP178">
            <v>5.5436499708567784</v>
          </cell>
          <cell r="AQ178">
            <v>22.087264884919996</v>
          </cell>
          <cell r="AR178">
            <v>2.8904997382499964</v>
          </cell>
          <cell r="AS178">
            <v>5.993649421858593</v>
          </cell>
          <cell r="AT178">
            <v>4.5506464064348702</v>
          </cell>
          <cell r="AU178">
            <v>9.3378873363841528</v>
          </cell>
          <cell r="AV178">
            <v>3.0468645189159744</v>
          </cell>
          <cell r="AW178">
            <v>5.2767586437549454</v>
          </cell>
          <cell r="AY178">
            <v>41.629783964609999</v>
          </cell>
          <cell r="AZ178">
            <v>53.820283702859996</v>
          </cell>
          <cell r="BA178">
            <v>63.94487711251</v>
          </cell>
          <cell r="BB178">
            <v>72.011020611220005</v>
          </cell>
          <cell r="BC178">
            <v>83.279509996930003</v>
          </cell>
          <cell r="BD178">
            <v>90.499108032530003</v>
          </cell>
          <cell r="BE178">
            <v>98.376563909270004</v>
          </cell>
          <cell r="BH178">
            <v>0</v>
          </cell>
          <cell r="BI178">
            <v>23.298869108833223</v>
          </cell>
          <cell r="BJ178">
            <v>27.429813096624631</v>
          </cell>
          <cell r="BK178">
            <v>30.945310188899761</v>
          </cell>
          <cell r="BL178">
            <v>32.875912238225609</v>
          </cell>
          <cell r="BM178">
            <v>37.048645754909636</v>
          </cell>
          <cell r="BN178">
            <v>39.649342987894691</v>
          </cell>
          <cell r="BQ178">
            <v>41.629783964609999</v>
          </cell>
          <cell r="BR178">
            <v>30.521414594026773</v>
          </cell>
          <cell r="BS178">
            <v>36.515064015885372</v>
          </cell>
          <cell r="BT178">
            <v>41.065710422320244</v>
          </cell>
          <cell r="BU178">
            <v>50.403597758704393</v>
          </cell>
          <cell r="BV178">
            <v>53.450462277620368</v>
          </cell>
          <cell r="BW178">
            <v>58.727220921375313</v>
          </cell>
          <cell r="BZ178">
            <v>7.4592003832491288E-2</v>
          </cell>
          <cell r="CA178">
            <v>2.9446380889618252E-2</v>
          </cell>
        </row>
        <row r="179">
          <cell r="Q179">
            <v>155.65266027014036</v>
          </cell>
          <cell r="R179">
            <v>58.087687214378782</v>
          </cell>
          <cell r="S179">
            <v>86.553286193795373</v>
          </cell>
          <cell r="T179">
            <v>155.67925618670219</v>
          </cell>
          <cell r="U179">
            <v>294.66962690616242</v>
          </cell>
          <cell r="V179">
            <v>183.87394367286561</v>
          </cell>
          <cell r="W179">
            <v>223.57232915489456</v>
          </cell>
          <cell r="X179">
            <v>12.998436634050623</v>
          </cell>
          <cell r="Y179">
            <v>6.4403356636901039</v>
          </cell>
          <cell r="Z179">
            <v>1.2586452902</v>
          </cell>
          <cell r="AA179">
            <v>102.02637491710546</v>
          </cell>
          <cell r="AB179">
            <v>0.11528057547271719</v>
          </cell>
          <cell r="AC179" t="e">
            <v>#VALUE!</v>
          </cell>
          <cell r="AD179">
            <v>0.11528057547271719</v>
          </cell>
          <cell r="AE179">
            <v>43.358681283538402</v>
          </cell>
          <cell r="AF179">
            <v>54.703301943100755</v>
          </cell>
          <cell r="AG179">
            <v>206.42999999999998</v>
          </cell>
          <cell r="AH179">
            <v>70.698789840206189</v>
          </cell>
          <cell r="AI179">
            <v>59.375908959537568</v>
          </cell>
          <cell r="AJ179">
            <v>96.220930635838158</v>
          </cell>
          <cell r="AK179">
            <v>335.83759517341036</v>
          </cell>
          <cell r="AL179">
            <v>85.101789017341048</v>
          </cell>
          <cell r="AP179">
            <v>83.805314235128293</v>
          </cell>
          <cell r="AQ179">
            <v>-12.008406786217925</v>
          </cell>
          <cell r="AR179">
            <v>-50.777339729859619</v>
          </cell>
          <cell r="AS179">
            <v>-12.611102625827407</v>
          </cell>
          <cell r="AT179">
            <v>27.177377234257804</v>
          </cell>
          <cell r="AU179">
            <v>59.458325550864032</v>
          </cell>
          <cell r="AV179">
            <v>-41.167968267247943</v>
          </cell>
          <cell r="AW179">
            <v>98.77215465552456</v>
          </cell>
          <cell r="AY179">
            <v>169.85889067554956</v>
          </cell>
          <cell r="AZ179">
            <v>325.51155094568986</v>
          </cell>
          <cell r="BA179">
            <v>383.59923816006869</v>
          </cell>
          <cell r="BB179">
            <v>470.15252435386401</v>
          </cell>
          <cell r="BC179">
            <v>625.83178054056623</v>
          </cell>
          <cell r="BD179">
            <v>920.50140744672865</v>
          </cell>
          <cell r="BE179">
            <v>1104.3753511195941</v>
          </cell>
          <cell r="BH179">
            <v>98.061983226639157</v>
          </cell>
          <cell r="BI179">
            <v>304.49198322663915</v>
          </cell>
          <cell r="BJ179">
            <v>375.19077306684534</v>
          </cell>
          <cell r="BK179">
            <v>434.56668202638292</v>
          </cell>
          <cell r="BL179">
            <v>530.78761266222102</v>
          </cell>
          <cell r="BM179">
            <v>866.6252078356315</v>
          </cell>
          <cell r="BN179">
            <v>951.72699685297255</v>
          </cell>
          <cell r="BQ179">
            <v>71.79690744891036</v>
          </cell>
          <cell r="BR179">
            <v>21.019567719050727</v>
          </cell>
          <cell r="BS179">
            <v>8.4084650932233131</v>
          </cell>
          <cell r="BT179">
            <v>35.585842327481132</v>
          </cell>
          <cell r="BU179">
            <v>95.044167878345149</v>
          </cell>
          <cell r="BV179">
            <v>53.876199611097149</v>
          </cell>
          <cell r="BW179">
            <v>152.6483542666216</v>
          </cell>
          <cell r="BZ179">
            <v>0.56054660473263629</v>
          </cell>
          <cell r="CA179">
            <v>0.47541720213530098</v>
          </cell>
        </row>
        <row r="180">
          <cell r="Q180">
            <v>20.389989183469996</v>
          </cell>
          <cell r="R180">
            <v>23.18330702766</v>
          </cell>
          <cell r="S180">
            <v>26.06416653558</v>
          </cell>
          <cell r="T180">
            <v>47.061405926010011</v>
          </cell>
          <cell r="U180">
            <v>30.953203019040004</v>
          </cell>
          <cell r="V180">
            <v>36.708243836569999</v>
          </cell>
          <cell r="W180">
            <v>24.578930537091001</v>
          </cell>
          <cell r="AE180">
            <v>27.7</v>
          </cell>
          <cell r="AF180">
            <v>36</v>
          </cell>
          <cell r="AG180">
            <v>32.700000000000003</v>
          </cell>
          <cell r="AH180">
            <v>24.7</v>
          </cell>
          <cell r="AI180">
            <v>31.9</v>
          </cell>
          <cell r="AJ180">
            <v>52.1</v>
          </cell>
          <cell r="AK180">
            <v>39</v>
          </cell>
          <cell r="AL180">
            <v>43.2</v>
          </cell>
          <cell r="AP180">
            <v>10.564640287859877</v>
          </cell>
          <cell r="AQ180">
            <v>-11.601199240870002</v>
          </cell>
          <cell r="AR180">
            <v>-12.310010816530006</v>
          </cell>
          <cell r="AT180">
            <v>-5.8358334644199985</v>
          </cell>
          <cell r="AU180">
            <v>-5.0385940739899908</v>
          </cell>
          <cell r="AV180">
            <v>-8.0467969809599964</v>
          </cell>
          <cell r="AW180">
            <v>-6.4917561634300043</v>
          </cell>
          <cell r="AY180">
            <v>62.663441046989874</v>
          </cell>
          <cell r="AZ180">
            <v>83.053430230459867</v>
          </cell>
          <cell r="BA180">
            <v>106.23673725811986</v>
          </cell>
          <cell r="BB180">
            <v>132.30090379369986</v>
          </cell>
          <cell r="BC180">
            <v>179.36230971970986</v>
          </cell>
          <cell r="BD180">
            <v>210.31551273874987</v>
          </cell>
          <cell r="BE180">
            <v>247.02375657531988</v>
          </cell>
          <cell r="BH180">
            <v>63.7</v>
          </cell>
          <cell r="BI180">
            <v>96.4</v>
          </cell>
          <cell r="BJ180">
            <v>121.10000000000001</v>
          </cell>
          <cell r="BK180">
            <v>153</v>
          </cell>
          <cell r="BL180">
            <v>205.1</v>
          </cell>
          <cell r="BM180">
            <v>244.1</v>
          </cell>
          <cell r="BN180">
            <v>287.3</v>
          </cell>
          <cell r="BQ180">
            <v>-1.0365589530101289</v>
          </cell>
          <cell r="BR180">
            <v>-13.346569769540139</v>
          </cell>
          <cell r="BS180">
            <v>-14.863262741880149</v>
          </cell>
          <cell r="BT180">
            <v>-20.69909620630014</v>
          </cell>
          <cell r="BU180">
            <v>-25.737690280290138</v>
          </cell>
          <cell r="BV180">
            <v>-33.784487261250121</v>
          </cell>
          <cell r="BW180">
            <v>-40.276243424680132</v>
          </cell>
          <cell r="BZ180">
            <v>0.16065169084820849</v>
          </cell>
          <cell r="CA180">
            <v>0.18370449089587504</v>
          </cell>
        </row>
        <row r="181">
          <cell r="Q181">
            <v>20.419145816216478</v>
          </cell>
          <cell r="R181">
            <v>18.153312371182583</v>
          </cell>
          <cell r="S181">
            <v>17.05947118514537</v>
          </cell>
          <cell r="T181">
            <v>12.247566229500725</v>
          </cell>
          <cell r="U181">
            <v>25.380658931673061</v>
          </cell>
          <cell r="V181">
            <v>21.110588443768986</v>
          </cell>
          <cell r="W181">
            <v>19.332088271396032</v>
          </cell>
          <cell r="AE181">
            <v>2</v>
          </cell>
          <cell r="AF181">
            <v>4.0999999999999996</v>
          </cell>
          <cell r="AG181">
            <v>5</v>
          </cell>
          <cell r="AH181">
            <v>22</v>
          </cell>
          <cell r="AI181">
            <v>10.4</v>
          </cell>
          <cell r="AJ181">
            <v>11.8</v>
          </cell>
          <cell r="AK181">
            <v>23.4</v>
          </cell>
          <cell r="AL181">
            <v>7.2</v>
          </cell>
          <cell r="AP181">
            <v>6.741418895517878</v>
          </cell>
          <cell r="AQ181">
            <v>2.3909133710559747</v>
          </cell>
          <cell r="AR181">
            <v>15.419145816216478</v>
          </cell>
          <cell r="AT181">
            <v>6.6594711851453692</v>
          </cell>
          <cell r="AU181">
            <v>0.44756622950072433</v>
          </cell>
          <cell r="AV181">
            <v>1.9806589316730623</v>
          </cell>
          <cell r="AW181">
            <v>13.910588443768987</v>
          </cell>
          <cell r="AY181">
            <v>15.232332266573852</v>
          </cell>
          <cell r="AZ181">
            <v>35.651478082790334</v>
          </cell>
          <cell r="BA181">
            <v>53.804790453972913</v>
          </cell>
          <cell r="BB181">
            <v>70.864261639118283</v>
          </cell>
          <cell r="BC181">
            <v>83.111827868619002</v>
          </cell>
          <cell r="BD181">
            <v>108.49248680029206</v>
          </cell>
          <cell r="BE181">
            <v>129.60307524406105</v>
          </cell>
          <cell r="BH181">
            <v>6.1</v>
          </cell>
          <cell r="BI181">
            <v>11.1</v>
          </cell>
          <cell r="BJ181">
            <v>33.1</v>
          </cell>
          <cell r="BK181">
            <v>43.5</v>
          </cell>
          <cell r="BL181">
            <v>55.3</v>
          </cell>
          <cell r="BM181">
            <v>78.699999999999989</v>
          </cell>
          <cell r="BN181">
            <v>85.899999999999991</v>
          </cell>
          <cell r="BQ181">
            <v>9.1323322665738527</v>
          </cell>
          <cell r="BR181">
            <v>24.551478082790332</v>
          </cell>
          <cell r="BS181">
            <v>20.704790453972912</v>
          </cell>
          <cell r="BT181">
            <v>27.364261639118283</v>
          </cell>
          <cell r="BU181">
            <v>27.811827868619005</v>
          </cell>
          <cell r="BV181">
            <v>29.792486800292068</v>
          </cell>
          <cell r="BW181">
            <v>43.703075244061054</v>
          </cell>
          <cell r="BZ181">
            <v>7.4441813876305482E-2</v>
          </cell>
          <cell r="CA181">
            <v>4.9531244985577226E-2</v>
          </cell>
        </row>
        <row r="182">
          <cell r="Q182">
            <v>5.0113765807009782</v>
          </cell>
          <cell r="R182">
            <v>4.7818756766337636</v>
          </cell>
          <cell r="S182">
            <v>21.554095750260004</v>
          </cell>
          <cell r="T182">
            <v>5.9497288321294901</v>
          </cell>
          <cell r="U182">
            <v>3.9456540861499994</v>
          </cell>
          <cell r="V182">
            <v>21.941462904838779</v>
          </cell>
          <cell r="W182">
            <v>6.9551681920775339</v>
          </cell>
          <cell r="AE182">
            <v>10.119681283538403</v>
          </cell>
          <cell r="AF182">
            <v>10.35904385061521</v>
          </cell>
          <cell r="AG182">
            <v>9.3999999999999986</v>
          </cell>
          <cell r="AH182">
            <v>7.7757898402061905</v>
          </cell>
          <cell r="AI182">
            <v>10.8</v>
          </cell>
          <cell r="AJ182">
            <v>24</v>
          </cell>
          <cell r="AK182">
            <v>5.2</v>
          </cell>
          <cell r="AL182">
            <v>29.5</v>
          </cell>
          <cell r="AP182">
            <v>53.538706444161605</v>
          </cell>
          <cell r="AQ182">
            <v>-1.4290486148652075</v>
          </cell>
          <cell r="AR182">
            <v>-4.3886234192990203</v>
          </cell>
          <cell r="AT182">
            <v>10.754095750260003</v>
          </cell>
          <cell r="AU182">
            <v>-18.050271167870509</v>
          </cell>
          <cell r="AV182">
            <v>-1.2543459138500008</v>
          </cell>
          <cell r="AW182">
            <v>-7.5585370951612205</v>
          </cell>
          <cell r="AY182">
            <v>72.588382963450016</v>
          </cell>
          <cell r="AZ182">
            <v>77.599759544150999</v>
          </cell>
          <cell r="BA182">
            <v>82.381635220784759</v>
          </cell>
          <cell r="BB182">
            <v>103.93573097104476</v>
          </cell>
          <cell r="BC182">
            <v>109.88545980317426</v>
          </cell>
          <cell r="BD182">
            <v>113.83111388932426</v>
          </cell>
          <cell r="BE182">
            <v>135.77257679416303</v>
          </cell>
          <cell r="BH182">
            <v>20.478725134153613</v>
          </cell>
          <cell r="BI182">
            <v>29.878725134153612</v>
          </cell>
          <cell r="BJ182">
            <v>37.654514974359799</v>
          </cell>
          <cell r="BK182">
            <v>48.454514974359796</v>
          </cell>
          <cell r="BL182">
            <v>72.454514974359796</v>
          </cell>
          <cell r="BM182">
            <v>77.654514974359799</v>
          </cell>
          <cell r="BN182">
            <v>107.1545149743598</v>
          </cell>
          <cell r="BQ182">
            <v>52.109657829296403</v>
          </cell>
          <cell r="BR182">
            <v>47.721034409997387</v>
          </cell>
          <cell r="BS182">
            <v>44.72712024642496</v>
          </cell>
          <cell r="BT182">
            <v>55.481215996684966</v>
          </cell>
          <cell r="BU182">
            <v>37.430944828814461</v>
          </cell>
          <cell r="BV182">
            <v>36.176598914964458</v>
          </cell>
          <cell r="BW182">
            <v>28.618061819803231</v>
          </cell>
          <cell r="BZ182">
            <v>9.8422488785964254E-2</v>
          </cell>
          <cell r="CA182">
            <v>6.4896244692697808E-2</v>
          </cell>
        </row>
        <row r="183">
          <cell r="Q183">
            <v>100</v>
          </cell>
          <cell r="R183">
            <v>0</v>
          </cell>
          <cell r="S183">
            <v>17.899999999999999</v>
          </cell>
          <cell r="T183">
            <v>88.812268683499994</v>
          </cell>
          <cell r="U183">
            <v>114.15</v>
          </cell>
          <cell r="V183">
            <v>98.247960756910004</v>
          </cell>
          <cell r="W183">
            <v>150.15</v>
          </cell>
          <cell r="AE183">
            <v>0</v>
          </cell>
          <cell r="AF183">
            <v>0</v>
          </cell>
          <cell r="AG183">
            <v>138.19999999999999</v>
          </cell>
          <cell r="AH183">
            <v>0</v>
          </cell>
          <cell r="AI183">
            <v>0</v>
          </cell>
          <cell r="AJ183">
            <v>0</v>
          </cell>
          <cell r="AK183">
            <v>139.078495</v>
          </cell>
          <cell r="AL183">
            <v>0</v>
          </cell>
          <cell r="AP183">
            <v>4.4000000000000004</v>
          </cell>
          <cell r="AQ183">
            <v>0.5</v>
          </cell>
          <cell r="AR183">
            <v>-38.199999999999989</v>
          </cell>
          <cell r="AT183">
            <v>17.899999999999999</v>
          </cell>
          <cell r="AU183">
            <v>88.812268683499994</v>
          </cell>
          <cell r="AV183">
            <v>-24.928494999999998</v>
          </cell>
          <cell r="AW183">
            <v>98.247960756910004</v>
          </cell>
          <cell r="AY183">
            <v>4.9000000000000004</v>
          </cell>
          <cell r="AZ183">
            <v>104.9</v>
          </cell>
          <cell r="BA183">
            <v>104.9</v>
          </cell>
          <cell r="BB183">
            <v>122.8</v>
          </cell>
          <cell r="BC183">
            <v>211.61226868349999</v>
          </cell>
          <cell r="BD183">
            <v>325.7622686835</v>
          </cell>
          <cell r="BE183">
            <v>424.01022944041</v>
          </cell>
          <cell r="BH183">
            <v>0</v>
          </cell>
          <cell r="BI183">
            <v>138.19999999999999</v>
          </cell>
          <cell r="BJ183">
            <v>138.19999999999999</v>
          </cell>
          <cell r="BK183">
            <v>138.19999999999999</v>
          </cell>
          <cell r="BL183">
            <v>138.19999999999999</v>
          </cell>
          <cell r="BM183">
            <v>277.27849500000002</v>
          </cell>
          <cell r="BN183">
            <v>277.27849500000002</v>
          </cell>
          <cell r="BQ183">
            <v>4.9000000000000004</v>
          </cell>
          <cell r="BR183">
            <v>-33.29999999999999</v>
          </cell>
          <cell r="BS183">
            <v>-33.29999999999999</v>
          </cell>
          <cell r="BT183">
            <v>-15.399999999999991</v>
          </cell>
          <cell r="BU183">
            <v>73.412268683500002</v>
          </cell>
          <cell r="BV183">
            <v>48.483773683499976</v>
          </cell>
          <cell r="BW183">
            <v>146.73173444040998</v>
          </cell>
          <cell r="BZ183">
            <v>0.18953741631313256</v>
          </cell>
          <cell r="CA183">
            <v>0.12378332833646967</v>
          </cell>
        </row>
        <row r="184">
          <cell r="Q184">
            <v>0</v>
          </cell>
          <cell r="R184">
            <v>0</v>
          </cell>
          <cell r="S184">
            <v>0</v>
          </cell>
          <cell r="T184">
            <v>0</v>
          </cell>
          <cell r="U184">
            <v>109.19289789080555</v>
          </cell>
          <cell r="V184">
            <v>0</v>
          </cell>
          <cell r="W184">
            <v>0</v>
          </cell>
          <cell r="AE184">
            <v>0</v>
          </cell>
          <cell r="AF184">
            <v>0</v>
          </cell>
          <cell r="AG184">
            <v>0</v>
          </cell>
          <cell r="AH184">
            <v>0</v>
          </cell>
          <cell r="AI184">
            <v>0</v>
          </cell>
          <cell r="AJ184">
            <v>0</v>
          </cell>
          <cell r="AK184">
            <v>111.04121000000001</v>
          </cell>
          <cell r="AL184">
            <v>0</v>
          </cell>
          <cell r="AP184">
            <v>0</v>
          </cell>
          <cell r="AQ184">
            <v>0</v>
          </cell>
          <cell r="AR184">
            <v>0</v>
          </cell>
          <cell r="AS184">
            <v>0</v>
          </cell>
          <cell r="AT184">
            <v>0</v>
          </cell>
          <cell r="AU184">
            <v>0</v>
          </cell>
          <cell r="AV184">
            <v>-1.8483121091944525</v>
          </cell>
          <cell r="AW184">
            <v>0</v>
          </cell>
          <cell r="AY184">
            <v>0</v>
          </cell>
          <cell r="AZ184">
            <v>0</v>
          </cell>
          <cell r="BA184">
            <v>0</v>
          </cell>
          <cell r="BB184">
            <v>0</v>
          </cell>
          <cell r="BC184">
            <v>0</v>
          </cell>
          <cell r="BD184">
            <v>109.19289789080555</v>
          </cell>
          <cell r="BE184">
            <v>109.19289789080555</v>
          </cell>
          <cell r="BH184">
            <v>0</v>
          </cell>
          <cell r="BI184">
            <v>0</v>
          </cell>
          <cell r="BJ184">
            <v>0</v>
          </cell>
          <cell r="BK184">
            <v>0</v>
          </cell>
          <cell r="BL184">
            <v>0</v>
          </cell>
          <cell r="BM184">
            <v>111.04121000000001</v>
          </cell>
          <cell r="BN184">
            <v>111.04121000000001</v>
          </cell>
          <cell r="BQ184">
            <v>0</v>
          </cell>
          <cell r="BR184">
            <v>0</v>
          </cell>
          <cell r="BS184">
            <v>0</v>
          </cell>
          <cell r="BT184">
            <v>0</v>
          </cell>
          <cell r="BU184">
            <v>0</v>
          </cell>
          <cell r="BV184">
            <v>-1.8483121091944525</v>
          </cell>
          <cell r="BW184">
            <v>-1.8483121091944525</v>
          </cell>
        </row>
        <row r="185">
          <cell r="Q185">
            <v>9.8321486897529002</v>
          </cell>
          <cell r="R185">
            <v>11.969192138902438</v>
          </cell>
          <cell r="S185">
            <v>3.9755527228100003</v>
          </cell>
          <cell r="T185">
            <v>1.608286515561961</v>
          </cell>
          <cell r="U185">
            <v>11.047212978493802</v>
          </cell>
          <cell r="V185">
            <v>5.8656877307778501</v>
          </cell>
          <cell r="W185">
            <v>22.556142154329997</v>
          </cell>
          <cell r="X185">
            <v>12.998436634050623</v>
          </cell>
          <cell r="Y185">
            <v>6.4403356636901039</v>
          </cell>
          <cell r="Z185">
            <v>1.2586452902</v>
          </cell>
          <cell r="AA185">
            <v>102.02637491710546</v>
          </cell>
          <cell r="AB185">
            <v>0.11528057547271719</v>
          </cell>
          <cell r="AC185" t="e">
            <v>#VALUE!</v>
          </cell>
          <cell r="AD185">
            <v>0.11528057547271719</v>
          </cell>
          <cell r="AE185">
            <v>3.5389999999999997</v>
          </cell>
          <cell r="AF185">
            <v>4.2442580924855484</v>
          </cell>
          <cell r="AG185">
            <v>21.13</v>
          </cell>
          <cell r="AH185">
            <v>16.222999999999999</v>
          </cell>
          <cell r="AI185">
            <v>6.2759089595375706</v>
          </cell>
          <cell r="AJ185">
            <v>8.320930635838149</v>
          </cell>
          <cell r="AK185">
            <v>18.117890173410402</v>
          </cell>
          <cell r="AL185">
            <v>5.2017890173410404</v>
          </cell>
          <cell r="AP185">
            <v>8.5605486075889345</v>
          </cell>
          <cell r="AQ185">
            <v>-1.869072301538699</v>
          </cell>
          <cell r="AR185">
            <v>-11.297851310247099</v>
          </cell>
          <cell r="AT185">
            <v>-2.3003562367275698</v>
          </cell>
          <cell r="AU185">
            <v>-6.7126441202761882</v>
          </cell>
          <cell r="AV185">
            <v>-7.0706771949166001</v>
          </cell>
          <cell r="AW185">
            <v>0.66389871343680973</v>
          </cell>
          <cell r="AY185">
            <v>14.474734398535784</v>
          </cell>
          <cell r="AZ185">
            <v>24.306883088288686</v>
          </cell>
          <cell r="BA185">
            <v>36.276075227191122</v>
          </cell>
          <cell r="BB185">
            <v>40.251627950001122</v>
          </cell>
          <cell r="BC185">
            <v>41.859914465563087</v>
          </cell>
          <cell r="BD185">
            <v>52.90712744405689</v>
          </cell>
          <cell r="BE185">
            <v>58.77281517483474</v>
          </cell>
          <cell r="BH185">
            <v>7.783258092485549</v>
          </cell>
          <cell r="BI185">
            <v>28.913258092485549</v>
          </cell>
          <cell r="BJ185">
            <v>45.136258092485548</v>
          </cell>
          <cell r="BK185">
            <v>51.412167052023108</v>
          </cell>
          <cell r="BL185">
            <v>59.73309768786126</v>
          </cell>
          <cell r="BM185">
            <v>77.850987861271676</v>
          </cell>
          <cell r="BN185">
            <v>83.052776878612718</v>
          </cell>
          <cell r="BQ185">
            <v>6.6914763060502338</v>
          </cell>
          <cell r="BR185">
            <v>-4.6063750041968614</v>
          </cell>
          <cell r="BS185">
            <v>-8.860182865294421</v>
          </cell>
          <cell r="BT185">
            <v>-11.160539102021989</v>
          </cell>
          <cell r="BU185">
            <v>-17.873183222298174</v>
          </cell>
          <cell r="BV185">
            <v>-24.943860417214786</v>
          </cell>
          <cell r="BW185">
            <v>-24.279961703777978</v>
          </cell>
          <cell r="BZ185">
            <v>3.7493194909025564E-2</v>
          </cell>
          <cell r="CA185">
            <v>5.3501893224681248E-2</v>
          </cell>
        </row>
        <row r="188">
          <cell r="Q188">
            <v>1562.7831531930278</v>
          </cell>
          <cell r="R188">
            <v>1335.5517192517016</v>
          </cell>
          <cell r="S188">
            <v>1459.047491855642</v>
          </cell>
          <cell r="T188">
            <v>1159.3107929749726</v>
          </cell>
          <cell r="U188">
            <v>1597.5626542380755</v>
          </cell>
          <cell r="V188">
            <v>1158.6352938180446</v>
          </cell>
          <cell r="W188">
            <v>1776.2541291407799</v>
          </cell>
          <cell r="X188">
            <v>1148.16500459793</v>
          </cell>
          <cell r="Y188">
            <v>1326.2427183671002</v>
          </cell>
          <cell r="Z188">
            <v>1444.4205285488624</v>
          </cell>
          <cell r="AA188">
            <v>16173.372973017389</v>
          </cell>
          <cell r="AB188">
            <v>14.480122042055168</v>
          </cell>
          <cell r="AC188" t="e">
            <v>#VALUE!</v>
          </cell>
          <cell r="AD188">
            <v>14.606218679749187</v>
          </cell>
          <cell r="AE188">
            <v>1068.756363721712</v>
          </cell>
          <cell r="AF188">
            <v>1031.5777194433952</v>
          </cell>
          <cell r="AG188">
            <v>1690.6351448769883</v>
          </cell>
          <cell r="AH188">
            <v>1358.7798698023994</v>
          </cell>
          <cell r="AI188">
            <v>1374.4917745222101</v>
          </cell>
          <cell r="AJ188">
            <v>1179.3930006395633</v>
          </cell>
          <cell r="AK188">
            <v>1534.3171599107404</v>
          </cell>
          <cell r="AP188">
            <v>71.364277281834575</v>
          </cell>
          <cell r="AQ188">
            <v>33.701126584312306</v>
          </cell>
          <cell r="AR188">
            <v>-127.85199168396048</v>
          </cell>
          <cell r="AS188">
            <v>-23.228150550697819</v>
          </cell>
          <cell r="AT188">
            <v>84.555717333431858</v>
          </cell>
          <cell r="AU188">
            <v>-20.082207664590669</v>
          </cell>
          <cell r="AV188">
            <v>63.245494327335109</v>
          </cell>
          <cell r="AY188">
            <v>2205.399487031254</v>
          </cell>
          <cell r="AZ188">
            <v>3768.1826402242814</v>
          </cell>
          <cell r="BA188">
            <v>5103.7343594759841</v>
          </cell>
          <cell r="BB188">
            <v>6562.7818513316261</v>
          </cell>
          <cell r="BC188">
            <v>7722.0926443065991</v>
          </cell>
          <cell r="BD188">
            <v>9319.6552985446742</v>
          </cell>
          <cell r="BE188">
            <v>10478.290592362719</v>
          </cell>
          <cell r="BH188">
            <v>2100.3340831651071</v>
          </cell>
          <cell r="BI188">
            <v>3790.969228042095</v>
          </cell>
          <cell r="BJ188">
            <v>5149.7490978444939</v>
          </cell>
          <cell r="BK188">
            <v>6524.240872366704</v>
          </cell>
          <cell r="BL188">
            <v>7703.633873006268</v>
          </cell>
          <cell r="BM188">
            <v>9237.951032917008</v>
          </cell>
          <cell r="BN188">
            <v>9237.951032917008</v>
          </cell>
          <cell r="BQ188">
            <v>105.06540386614701</v>
          </cell>
          <cell r="BR188">
            <v>-22.786587817813107</v>
          </cell>
          <cell r="BS188">
            <v>-46.014738368510578</v>
          </cell>
          <cell r="BT188">
            <v>38.540978964921635</v>
          </cell>
          <cell r="BU188">
            <v>18.458771300331165</v>
          </cell>
          <cell r="BV188">
            <v>81.704265627666246</v>
          </cell>
          <cell r="BW188">
            <v>1240.3395594457106</v>
          </cell>
          <cell r="BZ188">
            <v>6.9165436268801814</v>
          </cell>
          <cell r="CA188">
            <v>6.9000104275418552</v>
          </cell>
        </row>
        <row r="189">
          <cell r="Q189">
            <v>1268.7220575171</v>
          </cell>
          <cell r="R189">
            <v>1092.9445943212645</v>
          </cell>
          <cell r="S189">
            <v>1295.417872444752</v>
          </cell>
          <cell r="T189">
            <v>1014.5812168482155</v>
          </cell>
          <cell r="U189">
            <v>1354.7337588262978</v>
          </cell>
          <cell r="V189">
            <v>960.02224971059331</v>
          </cell>
          <cell r="W189">
            <v>1265.1986597871232</v>
          </cell>
          <cell r="X189">
            <v>936.90342965859668</v>
          </cell>
          <cell r="Y189">
            <v>1228.3875718281001</v>
          </cell>
          <cell r="Z189">
            <v>1156.9326777232959</v>
          </cell>
          <cell r="AA189">
            <v>13489.213309872008</v>
          </cell>
          <cell r="AB189">
            <v>12.122117719974254</v>
          </cell>
          <cell r="AC189" t="e">
            <v>#VALUE!</v>
          </cell>
          <cell r="AD189">
            <v>12.248214357668274</v>
          </cell>
          <cell r="AE189">
            <v>929.45947908848927</v>
          </cell>
          <cell r="AF189">
            <v>892.92130767706817</v>
          </cell>
          <cell r="AG189">
            <v>1360.775263643369</v>
          </cell>
          <cell r="AH189">
            <v>1117.5272050139802</v>
          </cell>
          <cell r="AI189">
            <v>1194.5268260458204</v>
          </cell>
          <cell r="AJ189">
            <v>1015.6999489663854</v>
          </cell>
          <cell r="AK189">
            <v>1339.5282498029148</v>
          </cell>
          <cell r="AP189">
            <v>72.717097568724057</v>
          </cell>
          <cell r="AQ189">
            <v>20.271336872389384</v>
          </cell>
          <cell r="AR189">
            <v>-92.05320612626906</v>
          </cell>
          <cell r="AS189">
            <v>-24.582610692715662</v>
          </cell>
          <cell r="AT189">
            <v>100.89104639893162</v>
          </cell>
          <cell r="AU189">
            <v>-1.1187321181698735</v>
          </cell>
          <cell r="AV189">
            <v>15.205509023383001</v>
          </cell>
          <cell r="AY189">
            <v>1915.3692212066708</v>
          </cell>
          <cell r="AZ189">
            <v>3184.0912787237703</v>
          </cell>
          <cell r="BA189">
            <v>4277.0358730450353</v>
          </cell>
          <cell r="BB189">
            <v>5572.4537454897873</v>
          </cell>
          <cell r="BC189">
            <v>6587.0349623380034</v>
          </cell>
          <cell r="BD189">
            <v>7941.7687211643006</v>
          </cell>
          <cell r="BE189">
            <v>8901.7909708748939</v>
          </cell>
          <cell r="BH189">
            <v>1822.3807867655573</v>
          </cell>
          <cell r="BI189">
            <v>3183.1560504089261</v>
          </cell>
          <cell r="BJ189">
            <v>4300.6832554229059</v>
          </cell>
          <cell r="BK189">
            <v>5495.2100814687265</v>
          </cell>
          <cell r="BL189">
            <v>6510.9100304351123</v>
          </cell>
          <cell r="BM189">
            <v>7850.4382802380269</v>
          </cell>
          <cell r="BN189">
            <v>7850.4382802380269</v>
          </cell>
          <cell r="BQ189">
            <v>92.988434441113299</v>
          </cell>
          <cell r="BR189">
            <v>0.93522831484444424</v>
          </cell>
          <cell r="BS189">
            <v>-23.647382377871011</v>
          </cell>
          <cell r="BT189">
            <v>77.243664021060852</v>
          </cell>
          <cell r="BU189">
            <v>76.124931902891007</v>
          </cell>
          <cell r="BV189">
            <v>91.330440926273695</v>
          </cell>
          <cell r="BW189">
            <v>1051.352690636867</v>
          </cell>
          <cell r="BZ189">
            <v>5.8998922685013762</v>
          </cell>
          <cell r="CA189">
            <v>5.8317084954165219</v>
          </cell>
        </row>
        <row r="190">
          <cell r="Q190">
            <v>229.82562720125335</v>
          </cell>
          <cell r="R190">
            <v>231.78627338494337</v>
          </cell>
          <cell r="S190">
            <v>220.36962725388335</v>
          </cell>
          <cell r="T190">
            <v>260.44324293338332</v>
          </cell>
          <cell r="U190">
            <v>322.04120313933333</v>
          </cell>
          <cell r="V190">
            <v>236.95060855333335</v>
          </cell>
          <cell r="W190">
            <v>239.19305935433331</v>
          </cell>
          <cell r="X190">
            <v>228.78283836333335</v>
          </cell>
          <cell r="Y190">
            <v>240.99025244333333</v>
          </cell>
          <cell r="Z190">
            <v>489.89481366878056</v>
          </cell>
          <cell r="AA190">
            <v>3086.9989706022366</v>
          </cell>
          <cell r="AB190">
            <v>2.8239336017217149</v>
          </cell>
          <cell r="AC190" t="str">
            <v xml:space="preserve"> </v>
          </cell>
          <cell r="AD190">
            <v>2.8239336017217149</v>
          </cell>
          <cell r="AE190">
            <v>136.05759002946508</v>
          </cell>
          <cell r="AF190">
            <v>235.99584037193952</v>
          </cell>
          <cell r="AG190">
            <v>253.06730158728695</v>
          </cell>
          <cell r="AH190">
            <v>238.41410385292349</v>
          </cell>
          <cell r="AI190">
            <v>234.579779344998</v>
          </cell>
          <cell r="AJ190">
            <v>263.55543885477232</v>
          </cell>
          <cell r="AK190">
            <v>313.56136992002473</v>
          </cell>
          <cell r="AP190">
            <v>26.681482223868272</v>
          </cell>
          <cell r="AQ190">
            <v>-12.013488318946202</v>
          </cell>
          <cell r="AR190">
            <v>-23.241674386033594</v>
          </cell>
          <cell r="AS190">
            <v>-6.6278304679801181</v>
          </cell>
          <cell r="AT190">
            <v>-14.210152091114651</v>
          </cell>
          <cell r="AU190">
            <v>-3.1121959213890023</v>
          </cell>
          <cell r="AV190">
            <v>8.4798332193086026</v>
          </cell>
          <cell r="AY190">
            <v>386.72142430632664</v>
          </cell>
          <cell r="AZ190">
            <v>616.54705150758002</v>
          </cell>
          <cell r="BA190">
            <v>848.33332489252336</v>
          </cell>
          <cell r="BB190">
            <v>1068.7029521464067</v>
          </cell>
          <cell r="BC190">
            <v>1329.14619507979</v>
          </cell>
          <cell r="BD190">
            <v>1651.1873982191232</v>
          </cell>
          <cell r="BE190">
            <v>1888.1380067724565</v>
          </cell>
          <cell r="BH190">
            <v>372.05343040140463</v>
          </cell>
          <cell r="BI190">
            <v>625.12073198869155</v>
          </cell>
          <cell r="BJ190">
            <v>863.53483584161506</v>
          </cell>
          <cell r="BK190">
            <v>1098.114615186613</v>
          </cell>
          <cell r="BL190">
            <v>1361.6700540413854</v>
          </cell>
          <cell r="BM190">
            <v>1675.2314239614102</v>
          </cell>
          <cell r="BN190">
            <v>1675.2314239614102</v>
          </cell>
          <cell r="BQ190">
            <v>14.667993904922014</v>
          </cell>
          <cell r="BR190">
            <v>-8.5736804811115235</v>
          </cell>
          <cell r="BS190">
            <v>-15.201510949091698</v>
          </cell>
          <cell r="BT190">
            <v>-29.411663040206349</v>
          </cell>
          <cell r="BU190">
            <v>-32.523858961595352</v>
          </cell>
          <cell r="BV190">
            <v>-24.044025742286976</v>
          </cell>
          <cell r="BW190">
            <v>212.90658281104629</v>
          </cell>
          <cell r="BZ190">
            <v>1.1904930526246817</v>
          </cell>
          <cell r="CA190">
            <v>1.2196241055379393</v>
          </cell>
        </row>
        <row r="191">
          <cell r="Q191">
            <v>114.93062309356779</v>
          </cell>
          <cell r="R191">
            <v>97.577095191947578</v>
          </cell>
          <cell r="S191">
            <v>99.839122443596665</v>
          </cell>
          <cell r="T191">
            <v>80.184636532315565</v>
          </cell>
          <cell r="U191">
            <v>78.343778427148891</v>
          </cell>
          <cell r="V191">
            <v>99.025721802846675</v>
          </cell>
          <cell r="W191">
            <v>101.61939423679334</v>
          </cell>
          <cell r="X191">
            <v>104.04936530497446</v>
          </cell>
          <cell r="Y191">
            <v>111.93020796266667</v>
          </cell>
          <cell r="Z191">
            <v>99.254814024515426</v>
          </cell>
          <cell r="AA191">
            <v>1168.2704795129862</v>
          </cell>
          <cell r="AB191">
            <v>0.32142097994371183</v>
          </cell>
          <cell r="AC191">
            <v>0.12609663769402049</v>
          </cell>
          <cell r="AD191">
            <v>0.44751761763773235</v>
          </cell>
          <cell r="AE191">
            <v>38.699802558668416</v>
          </cell>
          <cell r="AF191">
            <v>119.90133607843137</v>
          </cell>
          <cell r="AG191">
            <v>90.284681960784297</v>
          </cell>
          <cell r="AH191">
            <v>72.295434640522842</v>
          </cell>
          <cell r="AI191">
            <v>91.401886405228737</v>
          </cell>
          <cell r="AJ191">
            <v>98.853333464052255</v>
          </cell>
          <cell r="AK191">
            <v>94.987434744842744</v>
          </cell>
          <cell r="AP191">
            <v>30.696783632878258</v>
          </cell>
          <cell r="AQ191">
            <v>-7.7822017773646905</v>
          </cell>
          <cell r="AR191">
            <v>24.645941132783491</v>
          </cell>
          <cell r="AS191">
            <v>25.281660551424736</v>
          </cell>
          <cell r="AT191">
            <v>8.4372360383679279</v>
          </cell>
          <cell r="AU191">
            <v>-18.66869693173669</v>
          </cell>
          <cell r="AV191">
            <v>-16.643656317693853</v>
          </cell>
          <cell r="AY191">
            <v>181.51572049261335</v>
          </cell>
          <cell r="AZ191">
            <v>296.44634358618111</v>
          </cell>
          <cell r="BA191">
            <v>394.02343877812871</v>
          </cell>
          <cell r="BB191">
            <v>493.8625612217254</v>
          </cell>
          <cell r="BC191">
            <v>574.04719775404101</v>
          </cell>
          <cell r="BD191">
            <v>652.3909761811899</v>
          </cell>
          <cell r="BE191">
            <v>751.41669798403655</v>
          </cell>
          <cell r="BH191">
            <v>158.60113863709981</v>
          </cell>
          <cell r="BI191">
            <v>248.88582059788411</v>
          </cell>
          <cell r="BJ191">
            <v>321.18125523840695</v>
          </cell>
          <cell r="BK191">
            <v>412.58314164363571</v>
          </cell>
          <cell r="BL191">
            <v>511.43647510768795</v>
          </cell>
          <cell r="BM191">
            <v>606.42390985253064</v>
          </cell>
          <cell r="BN191">
            <v>606.42390985253064</v>
          </cell>
          <cell r="BQ191">
            <v>22.914581855513553</v>
          </cell>
          <cell r="BR191">
            <v>47.560522988297038</v>
          </cell>
          <cell r="BS191">
            <v>72.842183539721773</v>
          </cell>
          <cell r="BT191">
            <v>81.279419578089701</v>
          </cell>
          <cell r="BU191">
            <v>62.61072264635299</v>
          </cell>
          <cell r="BV191">
            <v>45.967066328659257</v>
          </cell>
          <cell r="BW191">
            <v>144.9927881315059</v>
          </cell>
          <cell r="BZ191">
            <v>0.51416405759926775</v>
          </cell>
          <cell r="CA191">
            <v>0.45808472591535199</v>
          </cell>
        </row>
        <row r="192">
          <cell r="Q192">
            <v>26.136318601111117</v>
          </cell>
          <cell r="R192">
            <v>28.111831709090907</v>
          </cell>
          <cell r="S192">
            <v>10.912967109</v>
          </cell>
          <cell r="T192">
            <v>10.992378753888888</v>
          </cell>
          <cell r="U192">
            <v>12.36558303222222</v>
          </cell>
          <cell r="V192">
            <v>49.993232800000001</v>
          </cell>
          <cell r="W192">
            <v>32.539151746666668</v>
          </cell>
          <cell r="X192">
            <v>28.857724697777776</v>
          </cell>
          <cell r="Y192">
            <v>28.824999999999999</v>
          </cell>
          <cell r="Z192">
            <v>28.824999999999999</v>
          </cell>
          <cell r="AA192">
            <v>316.25375747975755</v>
          </cell>
          <cell r="AB192">
            <v>0.32142097994371183</v>
          </cell>
          <cell r="AC192">
            <v>0.12609663769402049</v>
          </cell>
          <cell r="AD192">
            <v>0.44751761763773235</v>
          </cell>
          <cell r="AE192">
            <v>0.38659411764705881</v>
          </cell>
          <cell r="AF192">
            <v>29.059669411764705</v>
          </cell>
          <cell r="AG192">
            <v>6.7430152941176473</v>
          </cell>
          <cell r="AH192">
            <v>6.4093235294117639</v>
          </cell>
          <cell r="AI192">
            <v>12.415775294117648</v>
          </cell>
          <cell r="AJ192">
            <v>22.467222352941175</v>
          </cell>
          <cell r="AK192">
            <v>29.995634117647054</v>
          </cell>
          <cell r="AP192">
            <v>34.455825252352952</v>
          </cell>
          <cell r="AQ192">
            <v>-5.2075197517646998</v>
          </cell>
          <cell r="AR192">
            <v>19.39330330699347</v>
          </cell>
          <cell r="AS192">
            <v>21.702508179679143</v>
          </cell>
          <cell r="AT192">
            <v>-1.5028081851176474</v>
          </cell>
          <cell r="AU192">
            <v>-11.474843599052287</v>
          </cell>
          <cell r="AV192">
            <v>-17.630051085424832</v>
          </cell>
          <cell r="AY192">
            <v>58.694569030000011</v>
          </cell>
          <cell r="AZ192">
            <v>84.830887631111125</v>
          </cell>
          <cell r="BA192">
            <v>112.94271934020203</v>
          </cell>
          <cell r="BB192">
            <v>123.85568644920204</v>
          </cell>
          <cell r="BC192">
            <v>134.84806520309093</v>
          </cell>
          <cell r="BD192">
            <v>147.21364823531314</v>
          </cell>
          <cell r="BE192">
            <v>197.20688103531313</v>
          </cell>
          <cell r="BH192">
            <v>29.446263529411763</v>
          </cell>
          <cell r="BI192">
            <v>36.189278823529406</v>
          </cell>
          <cell r="BJ192">
            <v>42.598602352941171</v>
          </cell>
          <cell r="BK192">
            <v>55.014377647058822</v>
          </cell>
          <cell r="BL192">
            <v>77.4816</v>
          </cell>
          <cell r="BM192">
            <v>107.47723411764706</v>
          </cell>
          <cell r="BN192">
            <v>107.47723411764706</v>
          </cell>
          <cell r="BQ192">
            <v>29.248305500588248</v>
          </cell>
          <cell r="BR192">
            <v>48.641608807581719</v>
          </cell>
          <cell r="BS192">
            <v>70.344116987260861</v>
          </cell>
          <cell r="BT192">
            <v>68.841308802143217</v>
          </cell>
          <cell r="BU192">
            <v>57.366465203090925</v>
          </cell>
          <cell r="BV192">
            <v>39.736414117666087</v>
          </cell>
          <cell r="BW192">
            <v>89.729646917666074</v>
          </cell>
          <cell r="BZ192">
            <v>0.12078105883192385</v>
          </cell>
          <cell r="CA192">
            <v>6.9398917024855344E-2</v>
          </cell>
        </row>
        <row r="193">
          <cell r="Q193">
            <v>88.794304492456675</v>
          </cell>
          <cell r="R193">
            <v>69.46526348285667</v>
          </cell>
          <cell r="S193">
            <v>88.926155334596658</v>
          </cell>
          <cell r="T193">
            <v>69.192257778426679</v>
          </cell>
          <cell r="U193">
            <v>65.978195394926672</v>
          </cell>
          <cell r="V193">
            <v>49.032489002846667</v>
          </cell>
          <cell r="W193">
            <v>69.080242490126665</v>
          </cell>
          <cell r="X193">
            <v>75.191640607196675</v>
          </cell>
          <cell r="Y193">
            <v>83.105207962666668</v>
          </cell>
          <cell r="Z193">
            <v>70.429814024515423</v>
          </cell>
          <cell r="AA193">
            <v>852.01672203322869</v>
          </cell>
          <cell r="AB193">
            <v>0</v>
          </cell>
          <cell r="AC193">
            <v>0</v>
          </cell>
          <cell r="AD193">
            <v>0</v>
          </cell>
          <cell r="AE193">
            <v>38.313208441021359</v>
          </cell>
          <cell r="AF193">
            <v>90.841666666666669</v>
          </cell>
          <cell r="AG193">
            <v>83.541666666666657</v>
          </cell>
          <cell r="AH193">
            <v>65.886111111111077</v>
          </cell>
          <cell r="AI193">
            <v>78.986111111111086</v>
          </cell>
          <cell r="AJ193">
            <v>76.386111111111077</v>
          </cell>
          <cell r="AK193">
            <v>64.991800627195687</v>
          </cell>
          <cell r="AP193">
            <v>-3.7590416194746936</v>
          </cell>
          <cell r="AQ193">
            <v>-2.5746820255999978</v>
          </cell>
          <cell r="AR193">
            <v>5.2526378257900177</v>
          </cell>
          <cell r="AS193">
            <v>3.5791523717455931</v>
          </cell>
          <cell r="AT193">
            <v>9.9400442234855717</v>
          </cell>
          <cell r="AU193">
            <v>-7.1938533326843981</v>
          </cell>
          <cell r="AV193">
            <v>0.98639476773098522</v>
          </cell>
          <cell r="AY193">
            <v>122.82115146261334</v>
          </cell>
          <cell r="AZ193">
            <v>211.61545595507002</v>
          </cell>
          <cell r="BA193">
            <v>281.08071943792669</v>
          </cell>
          <cell r="BB193">
            <v>370.00687477252336</v>
          </cell>
          <cell r="BC193">
            <v>439.19913255095003</v>
          </cell>
          <cell r="BD193">
            <v>505.17732794587664</v>
          </cell>
          <cell r="BE193">
            <v>554.2098169487233</v>
          </cell>
          <cell r="BH193">
            <v>129.15487510768804</v>
          </cell>
          <cell r="BI193">
            <v>212.6965417743547</v>
          </cell>
          <cell r="BJ193">
            <v>278.58265288546579</v>
          </cell>
          <cell r="BK193">
            <v>357.56876399657688</v>
          </cell>
          <cell r="BL193">
            <v>433.95487510768794</v>
          </cell>
          <cell r="BM193">
            <v>498.94667573488363</v>
          </cell>
          <cell r="BN193">
            <v>498.94667573488363</v>
          </cell>
          <cell r="BQ193">
            <v>-6.3337236450746959</v>
          </cell>
          <cell r="BR193">
            <v>-1.0810858192846786</v>
          </cell>
          <cell r="BS193">
            <v>2.498066552460906</v>
          </cell>
          <cell r="BT193">
            <v>12.438110775946482</v>
          </cell>
          <cell r="BU193">
            <v>5.2442574432620646</v>
          </cell>
          <cell r="BV193">
            <v>6.2306522109930143</v>
          </cell>
          <cell r="BW193">
            <v>55.263141213839674</v>
          </cell>
          <cell r="BZ193">
            <v>0.39338299876734384</v>
          </cell>
          <cell r="CA193">
            <v>0.38868580889049659</v>
          </cell>
        </row>
        <row r="194">
          <cell r="Q194">
            <v>923.96580722227884</v>
          </cell>
          <cell r="R194">
            <v>763.58122574437368</v>
          </cell>
          <cell r="S194">
            <v>975.20912274727209</v>
          </cell>
          <cell r="T194">
            <v>673.95333738251657</v>
          </cell>
          <cell r="U194">
            <v>954.34877725981562</v>
          </cell>
          <cell r="V194">
            <v>624.04591935441329</v>
          </cell>
          <cell r="W194">
            <v>924.38620619599646</v>
          </cell>
          <cell r="X194">
            <v>604.07122599028889</v>
          </cell>
          <cell r="Y194">
            <v>875.46711142210006</v>
          </cell>
          <cell r="Z194">
            <v>567.78305003000003</v>
          </cell>
          <cell r="AA194">
            <v>9233.943859756786</v>
          </cell>
          <cell r="AB194">
            <v>8.9767631383088275</v>
          </cell>
          <cell r="AC194" t="str">
            <v xml:space="preserve"> </v>
          </cell>
          <cell r="AD194">
            <v>8.9767631383088275</v>
          </cell>
          <cell r="AE194">
            <v>754.70208650035579</v>
          </cell>
          <cell r="AF194">
            <v>537.02413122669725</v>
          </cell>
          <cell r="AG194">
            <v>1017.4232800952977</v>
          </cell>
          <cell r="AH194">
            <v>806.81766652053375</v>
          </cell>
          <cell r="AI194">
            <v>868.54516029559363</v>
          </cell>
          <cell r="AJ194">
            <v>653.29117664756075</v>
          </cell>
          <cell r="AK194">
            <v>930.97944513804737</v>
          </cell>
          <cell r="AP194">
            <v>15.338831711977491</v>
          </cell>
          <cell r="AQ194">
            <v>40.067026968700247</v>
          </cell>
          <cell r="AR194">
            <v>-93.457472873018901</v>
          </cell>
          <cell r="AS194">
            <v>-43.236440776160066</v>
          </cell>
          <cell r="AT194">
            <v>106.66396245167846</v>
          </cell>
          <cell r="AU194">
            <v>20.662160734955819</v>
          </cell>
          <cell r="AV194">
            <v>23.369332121768252</v>
          </cell>
          <cell r="AY194">
            <v>1347.1320764077307</v>
          </cell>
          <cell r="AZ194">
            <v>2271.0978836300092</v>
          </cell>
          <cell r="BA194">
            <v>3034.6791093743832</v>
          </cell>
          <cell r="BB194">
            <v>4009.8882321216556</v>
          </cell>
          <cell r="BC194">
            <v>4683.8415695041722</v>
          </cell>
          <cell r="BD194">
            <v>5638.1903467639868</v>
          </cell>
          <cell r="BE194">
            <v>6262.2362661183997</v>
          </cell>
          <cell r="BH194">
            <v>1291.7262177270529</v>
          </cell>
          <cell r="BI194">
            <v>2309.1494978223504</v>
          </cell>
          <cell r="BJ194">
            <v>3115.9671643428842</v>
          </cell>
          <cell r="BK194">
            <v>3984.5123246384778</v>
          </cell>
          <cell r="BL194">
            <v>4637.8035012860391</v>
          </cell>
          <cell r="BM194">
            <v>5568.7829464240867</v>
          </cell>
          <cell r="BN194">
            <v>5568.7829464240867</v>
          </cell>
          <cell r="BQ194">
            <v>55.405858680677731</v>
          </cell>
          <cell r="BR194">
            <v>-38.05161419234107</v>
          </cell>
          <cell r="BS194">
            <v>-81.288054968501086</v>
          </cell>
          <cell r="BT194">
            <v>25.375907483177507</v>
          </cell>
          <cell r="BU194">
            <v>46.038068218133375</v>
          </cell>
          <cell r="BV194">
            <v>69.40740033990005</v>
          </cell>
          <cell r="BW194">
            <v>693.453319694313</v>
          </cell>
          <cell r="BZ194">
            <v>4.195235158277427</v>
          </cell>
          <cell r="CA194">
            <v>4.1539996639632308</v>
          </cell>
        </row>
        <row r="196">
          <cell r="Q196">
            <v>294.0610956759279</v>
          </cell>
          <cell r="R196">
            <v>242.60712493043712</v>
          </cell>
          <cell r="S196">
            <v>163.62961941089</v>
          </cell>
          <cell r="T196">
            <v>144.72957612675719</v>
          </cell>
          <cell r="U196">
            <v>242.82889541177775</v>
          </cell>
          <cell r="V196">
            <v>198.61304410745123</v>
          </cell>
          <cell r="W196">
            <v>511.05546935365669</v>
          </cell>
          <cell r="X196">
            <v>211.26157493933331</v>
          </cell>
          <cell r="Y196">
            <v>97.855146539000003</v>
          </cell>
          <cell r="Z196">
            <v>287.48785082556651</v>
          </cell>
          <cell r="AA196">
            <v>2684.1596631453808</v>
          </cell>
          <cell r="AB196">
            <v>2.3580043220809133</v>
          </cell>
          <cell r="AC196" t="e">
            <v>#VALUE!</v>
          </cell>
          <cell r="AD196">
            <v>2.3580043220809133</v>
          </cell>
          <cell r="AE196">
            <v>139.29688463322262</v>
          </cell>
          <cell r="AF196">
            <v>138.65641176632701</v>
          </cell>
          <cell r="AG196">
            <v>329.85988123361915</v>
          </cell>
          <cell r="AH196">
            <v>241.25266478841922</v>
          </cell>
          <cell r="AI196">
            <v>179.96494847638968</v>
          </cell>
          <cell r="AJ196">
            <v>163.69305167317788</v>
          </cell>
          <cell r="AK196">
            <v>194.7889101078257</v>
          </cell>
          <cell r="AP196">
            <v>-1.3528202868892834</v>
          </cell>
          <cell r="AQ196">
            <v>13.429789711923007</v>
          </cell>
          <cell r="AR196">
            <v>-35.798785557691247</v>
          </cell>
          <cell r="AS196">
            <v>1.3544601420178992</v>
          </cell>
          <cell r="AT196">
            <v>-16.335329065499678</v>
          </cell>
          <cell r="AU196">
            <v>-18.963475546420682</v>
          </cell>
          <cell r="AV196">
            <v>48.039985303952051</v>
          </cell>
          <cell r="AY196">
            <v>290.03026582458335</v>
          </cell>
          <cell r="AZ196">
            <v>584.09136150051131</v>
          </cell>
          <cell r="BA196">
            <v>826.69848643094838</v>
          </cell>
          <cell r="BB196">
            <v>990.32810584183846</v>
          </cell>
          <cell r="BC196">
            <v>1135.0576819685957</v>
          </cell>
          <cell r="BD196">
            <v>1377.8865773803732</v>
          </cell>
          <cell r="BE196">
            <v>1576.4996214878245</v>
          </cell>
          <cell r="BH196">
            <v>277.95329639954963</v>
          </cell>
          <cell r="BI196">
            <v>607.81317763316883</v>
          </cell>
          <cell r="BJ196">
            <v>849.06584242158806</v>
          </cell>
          <cell r="BK196">
            <v>1029.0307908979776</v>
          </cell>
          <cell r="BL196">
            <v>1192.7238425711555</v>
          </cell>
          <cell r="BM196">
            <v>1387.5127526789815</v>
          </cell>
          <cell r="BN196">
            <v>1387.5127526789815</v>
          </cell>
          <cell r="BQ196">
            <v>12.07696942503371</v>
          </cell>
          <cell r="BR196">
            <v>-23.721816132657551</v>
          </cell>
          <cell r="BS196">
            <v>-22.367355990639567</v>
          </cell>
          <cell r="BT196">
            <v>-38.702685056139217</v>
          </cell>
          <cell r="BU196">
            <v>-57.666160602559842</v>
          </cell>
          <cell r="BV196">
            <v>-9.6261752986083593</v>
          </cell>
          <cell r="BW196">
            <v>188.98686880884293</v>
          </cell>
          <cell r="BZ196">
            <v>1.016651358378805</v>
          </cell>
          <cell r="CA196">
            <v>1.0683019321253338</v>
          </cell>
        </row>
        <row r="197">
          <cell r="Q197">
            <v>250.2770903</v>
          </cell>
          <cell r="R197">
            <v>181.92547436683</v>
          </cell>
          <cell r="S197">
            <v>136.10404965729001</v>
          </cell>
          <cell r="T197">
            <v>66.59179432900001</v>
          </cell>
          <cell r="U197">
            <v>201.49002999999999</v>
          </cell>
          <cell r="V197">
            <v>117.15720660522</v>
          </cell>
          <cell r="W197">
            <v>455.76433764899002</v>
          </cell>
          <cell r="X197">
            <v>119.3005</v>
          </cell>
          <cell r="Y197">
            <v>80.678799999999995</v>
          </cell>
          <cell r="Z197">
            <v>223.83</v>
          </cell>
          <cell r="AA197">
            <v>2034.9541098073298</v>
          </cell>
          <cell r="AB197">
            <v>1.725590518563513</v>
          </cell>
          <cell r="AC197" t="str">
            <v xml:space="preserve"> </v>
          </cell>
          <cell r="AD197">
            <v>1.725590518563513</v>
          </cell>
          <cell r="AE197">
            <v>105.5949751885439</v>
          </cell>
          <cell r="AF197">
            <v>83.460269798793149</v>
          </cell>
          <cell r="AG197">
            <v>259.77615401441949</v>
          </cell>
          <cell r="AH197">
            <v>167.34054464170501</v>
          </cell>
          <cell r="AI197">
            <v>133.32951094867099</v>
          </cell>
          <cell r="AJ197">
            <v>88.77389837829439</v>
          </cell>
          <cell r="AK197">
            <v>161.08700066314699</v>
          </cell>
          <cell r="AP197">
            <v>2.2549181114560923</v>
          </cell>
          <cell r="AQ197">
            <v>10.524663801206856</v>
          </cell>
          <cell r="AR197">
            <v>-9.499063714419492</v>
          </cell>
          <cell r="AS197">
            <v>14.584929725124994</v>
          </cell>
          <cell r="AT197">
            <v>2.7745387086190192</v>
          </cell>
          <cell r="AU197">
            <v>-22.182104049294381</v>
          </cell>
          <cell r="AV197">
            <v>40.403029336852995</v>
          </cell>
          <cell r="AY197">
            <v>201.8348269</v>
          </cell>
          <cell r="AZ197">
            <v>452.11191719999999</v>
          </cell>
          <cell r="BA197">
            <v>634.03739156683002</v>
          </cell>
          <cell r="BB197">
            <v>770.14144122412006</v>
          </cell>
          <cell r="BC197">
            <v>836.73323555312004</v>
          </cell>
          <cell r="BD197">
            <v>1038.22326555312</v>
          </cell>
          <cell r="BE197">
            <v>1155.3804721583399</v>
          </cell>
          <cell r="BH197">
            <v>189.05524498733706</v>
          </cell>
          <cell r="BI197">
            <v>448.83139900175655</v>
          </cell>
          <cell r="BJ197">
            <v>616.17194364346153</v>
          </cell>
          <cell r="BK197">
            <v>749.50145459213252</v>
          </cell>
          <cell r="BL197">
            <v>838.27535297042687</v>
          </cell>
          <cell r="BM197">
            <v>999.36235363357389</v>
          </cell>
          <cell r="BN197">
            <v>999.36235363357389</v>
          </cell>
          <cell r="BQ197">
            <v>12.779581912662934</v>
          </cell>
          <cell r="BR197">
            <v>3.2805181982434419</v>
          </cell>
          <cell r="BS197">
            <v>17.865447923368492</v>
          </cell>
          <cell r="BT197">
            <v>20.63998663198754</v>
          </cell>
          <cell r="BU197">
            <v>-1.5421174173068266</v>
          </cell>
          <cell r="BV197">
            <v>38.860911919546083</v>
          </cell>
          <cell r="BW197">
            <v>156.01811852476601</v>
          </cell>
          <cell r="BZ197">
            <v>0.74944735764477921</v>
          </cell>
          <cell r="CA197">
            <v>0.75082860530469142</v>
          </cell>
        </row>
        <row r="198">
          <cell r="Q198">
            <v>43.784005375927912</v>
          </cell>
          <cell r="R198">
            <v>60.681650563607135</v>
          </cell>
          <cell r="S198">
            <v>27.525569753600006</v>
          </cell>
          <cell r="T198">
            <v>78.137781797757199</v>
          </cell>
          <cell r="U198">
            <v>41.338865411777768</v>
          </cell>
          <cell r="V198">
            <v>81.455837502231233</v>
          </cell>
          <cell r="W198">
            <v>55.291131704666668</v>
          </cell>
          <cell r="X198">
            <v>91.961074939333315</v>
          </cell>
          <cell r="Y198">
            <v>17.176346539000001</v>
          </cell>
          <cell r="Z198">
            <v>63.657850825566527</v>
          </cell>
          <cell r="AA198">
            <v>649.205553338051</v>
          </cell>
          <cell r="AB198">
            <v>0.63241380351740051</v>
          </cell>
          <cell r="AC198" t="str">
            <v xml:space="preserve"> </v>
          </cell>
          <cell r="AD198">
            <v>0.63241380351740051</v>
          </cell>
          <cell r="AE198">
            <v>33.701909444678712</v>
          </cell>
          <cell r="AF198">
            <v>55.196141967533862</v>
          </cell>
          <cell r="AG198">
            <v>70.083727219199687</v>
          </cell>
          <cell r="AH198">
            <v>73.91212014671423</v>
          </cell>
          <cell r="AI198">
            <v>46.635437527718707</v>
          </cell>
          <cell r="AJ198">
            <v>74.9191532948835</v>
          </cell>
          <cell r="AK198">
            <v>33.701909444678712</v>
          </cell>
          <cell r="AP198">
            <v>-3.6077383983453757</v>
          </cell>
          <cell r="AQ198">
            <v>2.9051259107161442</v>
          </cell>
          <cell r="AR198">
            <v>-26.299721843271776</v>
          </cell>
          <cell r="AS198">
            <v>-13.230469583107094</v>
          </cell>
          <cell r="AT198">
            <v>-19.109867774118701</v>
          </cell>
          <cell r="AU198">
            <v>3.2186285028736989</v>
          </cell>
          <cell r="AV198">
            <v>7.6369559670990554</v>
          </cell>
          <cell r="AY198">
            <v>88.195438924583343</v>
          </cell>
          <cell r="AZ198">
            <v>131.97944430051126</v>
          </cell>
          <cell r="BA198">
            <v>192.66109486411841</v>
          </cell>
          <cell r="BB198">
            <v>220.18666461771841</v>
          </cell>
          <cell r="BC198">
            <v>298.32444641547562</v>
          </cell>
          <cell r="BD198">
            <v>339.66331182725338</v>
          </cell>
          <cell r="BE198">
            <v>421.11914932948463</v>
          </cell>
          <cell r="BH198">
            <v>88.898051412212567</v>
          </cell>
          <cell r="BI198">
            <v>158.98177863141225</v>
          </cell>
          <cell r="BJ198">
            <v>232.89389877812647</v>
          </cell>
          <cell r="BK198">
            <v>279.52933630584516</v>
          </cell>
          <cell r="BL198">
            <v>354.44848960072864</v>
          </cell>
          <cell r="BM198">
            <v>388.15039904540737</v>
          </cell>
          <cell r="BN198">
            <v>388.15039904540737</v>
          </cell>
          <cell r="BQ198">
            <v>-0.70261248762922435</v>
          </cell>
          <cell r="BR198">
            <v>-27.002334330900993</v>
          </cell>
          <cell r="BS198">
            <v>-40.232803914008059</v>
          </cell>
          <cell r="BT198">
            <v>-59.342671688126757</v>
          </cell>
          <cell r="BU198">
            <v>-56.124043185253015</v>
          </cell>
          <cell r="BV198">
            <v>-48.487087218153988</v>
          </cell>
          <cell r="BW198">
            <v>32.968750284077259</v>
          </cell>
          <cell r="BZ198">
            <v>0.26720400073402589</v>
          </cell>
          <cell r="CA198">
            <v>0.31747332682064217</v>
          </cell>
        </row>
        <row r="201">
          <cell r="Q201">
            <v>-453.36060913068718</v>
          </cell>
          <cell r="R201">
            <v>-200.99598413182298</v>
          </cell>
          <cell r="S201">
            <v>-282.85149968235692</v>
          </cell>
          <cell r="T201">
            <v>211.58693265500938</v>
          </cell>
          <cell r="U201">
            <v>-101.53025537148301</v>
          </cell>
          <cell r="V201">
            <v>354.6165870373809</v>
          </cell>
          <cell r="W201">
            <v>-492.70167044281538</v>
          </cell>
          <cell r="X201">
            <v>179.51424757188079</v>
          </cell>
          <cell r="Y201">
            <v>-386.7501104948301</v>
          </cell>
          <cell r="Z201">
            <v>-20.858405670287311</v>
          </cell>
          <cell r="AA201">
            <v>-2588.1556149846056</v>
          </cell>
          <cell r="AB201">
            <v>-2.3932970142848156</v>
          </cell>
          <cell r="AC201" t="e">
            <v>#VALUE!</v>
          </cell>
          <cell r="AD201">
            <v>-2.5193936519788345</v>
          </cell>
          <cell r="AE201">
            <v>-342.42051332934034</v>
          </cell>
          <cell r="AF201">
            <v>406.54498249970561</v>
          </cell>
          <cell r="AG201">
            <v>-666.02484487698825</v>
          </cell>
          <cell r="AH201">
            <v>-139.50961375217958</v>
          </cell>
          <cell r="AI201">
            <v>-349.43378398148525</v>
          </cell>
          <cell r="AJ201">
            <v>139.11951925919243</v>
          </cell>
          <cell r="AK201">
            <v>-147.46399630213136</v>
          </cell>
          <cell r="AP201">
            <v>-57.990141249089447</v>
          </cell>
          <cell r="AQ201">
            <v>-154.3404523005504</v>
          </cell>
          <cell r="AR201">
            <v>212.66423574630107</v>
          </cell>
          <cell r="AS201">
            <v>-61.486370379643404</v>
          </cell>
          <cell r="AT201">
            <v>66.582284299128332</v>
          </cell>
          <cell r="AU201">
            <v>72.467413395816948</v>
          </cell>
          <cell r="AV201">
            <v>45.933740930648355</v>
          </cell>
          <cell r="AY201">
            <v>-148.20612437927457</v>
          </cell>
          <cell r="AZ201">
            <v>-601.56673350996107</v>
          </cell>
          <cell r="BA201">
            <v>-802.56271764178473</v>
          </cell>
          <cell r="BB201">
            <v>-1085.4142173241407</v>
          </cell>
          <cell r="BC201">
            <v>-873.82728466913341</v>
          </cell>
          <cell r="BD201">
            <v>-975.35754004061528</v>
          </cell>
          <cell r="BE201">
            <v>-620.74095300323438</v>
          </cell>
          <cell r="BH201">
            <v>6.1256000615321682</v>
          </cell>
          <cell r="BI201">
            <v>-601.90037570662298</v>
          </cell>
          <cell r="BJ201">
            <v>-741.40998945880165</v>
          </cell>
          <cell r="BK201">
            <v>-1090.8437734402869</v>
          </cell>
          <cell r="BL201">
            <v>-951.72425418109469</v>
          </cell>
          <cell r="BM201">
            <v>-1099.1882504832267</v>
          </cell>
          <cell r="BN201">
            <v>-1099.1882504832267</v>
          </cell>
          <cell r="BQ201">
            <v>-154.33172444080662</v>
          </cell>
          <cell r="BR201">
            <v>0.33364219666083272</v>
          </cell>
          <cell r="BS201">
            <v>-61.152728182982742</v>
          </cell>
          <cell r="BT201">
            <v>5.4295561161453136</v>
          </cell>
          <cell r="BU201">
            <v>77.8969695119618</v>
          </cell>
          <cell r="BV201">
            <v>123.83071044261146</v>
          </cell>
          <cell r="BW201">
            <v>478.44729747999236</v>
          </cell>
          <cell r="BZ201">
            <v>-0.78267185012709917</v>
          </cell>
          <cell r="CA201">
            <v>-0.85244280637539926</v>
          </cell>
        </row>
        <row r="203">
          <cell r="Q203">
            <v>404.7786453096212</v>
          </cell>
          <cell r="R203">
            <v>265.80763936931908</v>
          </cell>
          <cell r="S203">
            <v>241.58523357122994</v>
          </cell>
          <cell r="T203">
            <v>258.14069976800113</v>
          </cell>
          <cell r="U203">
            <v>246.26153916855324</v>
          </cell>
          <cell r="V203">
            <v>254.81999630365004</v>
          </cell>
          <cell r="W203">
            <v>217.43101778686668</v>
          </cell>
          <cell r="X203">
            <v>294.67137153757579</v>
          </cell>
          <cell r="Y203">
            <v>292.82296226800003</v>
          </cell>
          <cell r="Z203">
            <v>671.79916426696855</v>
          </cell>
          <cell r="AA203">
            <v>3593.7375903045527</v>
          </cell>
          <cell r="AB203" t="e">
            <v>#VALUE!</v>
          </cell>
          <cell r="AC203" t="e">
            <v>#VALUE!</v>
          </cell>
          <cell r="AD203">
            <v>2.6715333763513591</v>
          </cell>
          <cell r="AE203">
            <v>233.55099404603934</v>
          </cell>
          <cell r="AF203">
            <v>376.67698818875624</v>
          </cell>
          <cell r="AG203">
            <v>566.83263536502761</v>
          </cell>
          <cell r="AH203">
            <v>243.77043497050661</v>
          </cell>
          <cell r="AI203">
            <v>212.5075514024339</v>
          </cell>
          <cell r="AJ203">
            <v>245.09899648454331</v>
          </cell>
          <cell r="AK203">
            <v>225.82966824904469</v>
          </cell>
          <cell r="AP203">
            <v>-82.345610499372668</v>
          </cell>
          <cell r="AQ203">
            <v>-82.263050780656215</v>
          </cell>
          <cell r="AR203">
            <v>-162.05399005540642</v>
          </cell>
          <cell r="AS203">
            <v>22.037204398812463</v>
          </cell>
          <cell r="AT203">
            <v>29.077682168796031</v>
          </cell>
          <cell r="AU203">
            <v>13.041703283457821</v>
          </cell>
          <cell r="AV203">
            <v>20.431870919508555</v>
          </cell>
          <cell r="AY203">
            <v>445.61932095476669</v>
          </cell>
          <cell r="AZ203">
            <v>850.39796626438783</v>
          </cell>
          <cell r="BA203">
            <v>1116.2056056337069</v>
          </cell>
          <cell r="BB203">
            <v>1357.7908392049369</v>
          </cell>
          <cell r="BC203">
            <v>1615.9315389729379</v>
          </cell>
          <cell r="BD203">
            <v>1862.1930781414915</v>
          </cell>
          <cell r="BE203">
            <v>2117.0130744451417</v>
          </cell>
          <cell r="BH203">
            <v>610.22798223479549</v>
          </cell>
          <cell r="BI203">
            <v>1177.0606175998232</v>
          </cell>
          <cell r="BJ203">
            <v>1420.8310525703296</v>
          </cell>
          <cell r="BK203">
            <v>1633.3386039727634</v>
          </cell>
          <cell r="BL203">
            <v>1878.4376004573069</v>
          </cell>
          <cell r="BM203">
            <v>2104.2672687063514</v>
          </cell>
          <cell r="BN203">
            <v>2104.2672687063514</v>
          </cell>
          <cell r="BQ203">
            <v>-164.60866128002888</v>
          </cell>
          <cell r="BR203">
            <v>-326.66265133543533</v>
          </cell>
          <cell r="BS203">
            <v>-304.62544693662289</v>
          </cell>
          <cell r="BT203">
            <v>-275.54776476782672</v>
          </cell>
          <cell r="BU203">
            <v>-262.5060614843689</v>
          </cell>
          <cell r="BV203">
            <v>-242.07419056485992</v>
          </cell>
          <cell r="BW203">
            <v>12.745805738790295</v>
          </cell>
          <cell r="BZ203">
            <v>1.4473616805929372</v>
          </cell>
          <cell r="CA203">
            <v>1.6824837789940452</v>
          </cell>
        </row>
        <row r="205">
          <cell r="Q205">
            <v>1967.561798502649</v>
          </cell>
          <cell r="R205">
            <v>1601.3593586210206</v>
          </cell>
          <cell r="S205">
            <v>1700.632725426872</v>
          </cell>
          <cell r="T205">
            <v>1417.4514927429736</v>
          </cell>
          <cell r="U205">
            <v>1843.8241934066289</v>
          </cell>
          <cell r="V205">
            <v>1413.4552901216946</v>
          </cell>
          <cell r="W205">
            <v>1993.6851469276467</v>
          </cell>
          <cell r="X205">
            <v>1442.8363761355058</v>
          </cell>
          <cell r="Y205">
            <v>1619.0656806351003</v>
          </cell>
          <cell r="Z205">
            <v>2116.219692815831</v>
          </cell>
          <cell r="AA205">
            <v>19767.110563321941</v>
          </cell>
          <cell r="AB205" t="e">
            <v>#VALUE!</v>
          </cell>
          <cell r="AC205" t="e">
            <v>#VALUE!</v>
          </cell>
          <cell r="AD205">
            <v>17.277752056100546</v>
          </cell>
          <cell r="AE205">
            <v>1302.3073577677512</v>
          </cell>
          <cell r="AF205">
            <v>1408.2547076321514</v>
          </cell>
          <cell r="AG205">
            <v>2257.467780242016</v>
          </cell>
          <cell r="AH205">
            <v>1602.550304772906</v>
          </cell>
          <cell r="AI205">
            <v>1586.9993259246439</v>
          </cell>
          <cell r="AJ205">
            <v>1424.4919971241065</v>
          </cell>
          <cell r="AK205">
            <v>1760.1468281597852</v>
          </cell>
          <cell r="AP205">
            <v>-10.981333217537895</v>
          </cell>
          <cell r="AQ205">
            <v>-48.561924196343853</v>
          </cell>
          <cell r="AR205">
            <v>-289.90598173936701</v>
          </cell>
          <cell r="AS205">
            <v>-1.1909461518853277</v>
          </cell>
          <cell r="AT205">
            <v>113.63339950222803</v>
          </cell>
          <cell r="AU205">
            <v>-7.0405043811329051</v>
          </cell>
          <cell r="AV205">
            <v>83.677365246843692</v>
          </cell>
          <cell r="AY205">
            <v>2651.0188079860209</v>
          </cell>
          <cell r="AZ205">
            <v>4618.5806064886692</v>
          </cell>
          <cell r="BA205">
            <v>6219.939965109691</v>
          </cell>
          <cell r="BB205">
            <v>7920.5726905365627</v>
          </cell>
          <cell r="BC205">
            <v>9338.0241832795364</v>
          </cell>
          <cell r="BD205">
            <v>11181.848376686165</v>
          </cell>
          <cell r="BE205">
            <v>12595.303666807858</v>
          </cell>
          <cell r="BH205">
            <v>2710.5620653999026</v>
          </cell>
          <cell r="BI205">
            <v>4968.0298456419187</v>
          </cell>
          <cell r="BJ205">
            <v>6570.5801504148239</v>
          </cell>
          <cell r="BK205">
            <v>8157.5794763394679</v>
          </cell>
          <cell r="BL205">
            <v>9582.0714734635749</v>
          </cell>
          <cell r="BM205">
            <v>11342.218301623359</v>
          </cell>
          <cell r="BN205">
            <v>11342.218301623359</v>
          </cell>
          <cell r="BQ205">
            <v>-59.543257413881875</v>
          </cell>
          <cell r="BR205">
            <v>-349.44923915324841</v>
          </cell>
          <cell r="BS205">
            <v>-350.64018530513346</v>
          </cell>
          <cell r="BT205">
            <v>-237.00678580290509</v>
          </cell>
          <cell r="BU205">
            <v>-244.04729018403773</v>
          </cell>
          <cell r="BV205">
            <v>-160.36992493719481</v>
          </cell>
          <cell r="BW205">
            <v>1253.0853651844991</v>
          </cell>
          <cell r="BZ205">
            <v>8.363905307473118</v>
          </cell>
          <cell r="CA205">
            <v>8.5824942065359018</v>
          </cell>
        </row>
        <row r="207">
          <cell r="Q207">
            <v>-858.13925444030838</v>
          </cell>
          <cell r="R207">
            <v>-466.80362350114206</v>
          </cell>
          <cell r="S207">
            <v>-524.43673325358691</v>
          </cell>
          <cell r="T207">
            <v>-46.553767112991636</v>
          </cell>
          <cell r="U207">
            <v>-347.79179454003634</v>
          </cell>
          <cell r="V207">
            <v>99.796590733730909</v>
          </cell>
          <cell r="W207">
            <v>-710.13268822968212</v>
          </cell>
          <cell r="X207">
            <v>-115.15712396569506</v>
          </cell>
          <cell r="Y207">
            <v>-679.57307276283018</v>
          </cell>
          <cell r="Z207">
            <v>-692.65756993725586</v>
          </cell>
          <cell r="AA207">
            <v>-6181.8932052891578</v>
          </cell>
          <cell r="AB207" t="e">
            <v>#VALUE!</v>
          </cell>
          <cell r="AC207" t="e">
            <v>#VALUE!</v>
          </cell>
          <cell r="AD207">
            <v>-5.1909270283301936</v>
          </cell>
          <cell r="AE207">
            <v>-575.97150737537959</v>
          </cell>
          <cell r="AF207">
            <v>29.867994310949371</v>
          </cell>
          <cell r="AG207">
            <v>-1232.857480242016</v>
          </cell>
          <cell r="AH207">
            <v>-383.28004872268616</v>
          </cell>
          <cell r="AI207">
            <v>-561.94133538391907</v>
          </cell>
          <cell r="AJ207">
            <v>-105.97947722535082</v>
          </cell>
          <cell r="AK207">
            <v>-373.29366455117611</v>
          </cell>
          <cell r="AP207">
            <v>24.355469250283022</v>
          </cell>
          <cell r="AQ207">
            <v>-72.077401519894238</v>
          </cell>
          <cell r="AR207">
            <v>374.7182258017076</v>
          </cell>
          <cell r="AS207">
            <v>-83.523574778455895</v>
          </cell>
          <cell r="AT207">
            <v>37.50460213033216</v>
          </cell>
          <cell r="AU207">
            <v>59.425710112359184</v>
          </cell>
          <cell r="AV207">
            <v>25.501870011139772</v>
          </cell>
          <cell r="AY207">
            <v>-593.82544533404143</v>
          </cell>
          <cell r="AZ207">
            <v>-1451.9646997743489</v>
          </cell>
          <cell r="BA207">
            <v>-1918.7683232754916</v>
          </cell>
          <cell r="BB207">
            <v>-2443.2050565290774</v>
          </cell>
          <cell r="BC207">
            <v>-2489.7588236420706</v>
          </cell>
          <cell r="BD207">
            <v>-2837.550618182107</v>
          </cell>
          <cell r="BE207">
            <v>-2737.7540274483763</v>
          </cell>
          <cell r="BH207">
            <v>-604.10238217326332</v>
          </cell>
          <cell r="BI207">
            <v>-1778.9609933064467</v>
          </cell>
          <cell r="BJ207">
            <v>-2162.2410420291317</v>
          </cell>
          <cell r="BK207">
            <v>-2724.1823774130507</v>
          </cell>
          <cell r="BL207">
            <v>-2830.1618546384016</v>
          </cell>
          <cell r="BM207">
            <v>-3203.4555191895788</v>
          </cell>
          <cell r="BN207">
            <v>-3203.4555191895788</v>
          </cell>
          <cell r="BQ207">
            <v>10.276936839222273</v>
          </cell>
          <cell r="BR207">
            <v>326.99629353209616</v>
          </cell>
          <cell r="BS207">
            <v>243.47271875364015</v>
          </cell>
          <cell r="BT207">
            <v>280.97732088397203</v>
          </cell>
          <cell r="BU207">
            <v>340.4030309963307</v>
          </cell>
          <cell r="BV207">
            <v>365.90490100747184</v>
          </cell>
          <cell r="BW207">
            <v>465.70149174120252</v>
          </cell>
          <cell r="BZ207">
            <v>-2.2300335307200356</v>
          </cell>
          <cell r="CA207">
            <v>-2.5349265853694445</v>
          </cell>
        </row>
        <row r="209">
          <cell r="Q209">
            <v>40.036821937128892</v>
          </cell>
          <cell r="R209">
            <v>25.893005499405454</v>
          </cell>
          <cell r="S209">
            <v>5.5265848677800014</v>
          </cell>
          <cell r="T209">
            <v>1.5822323980600004</v>
          </cell>
          <cell r="U209">
            <v>4.3351867676299989</v>
          </cell>
          <cell r="V209">
            <v>31.716771812076669</v>
          </cell>
          <cell r="W209">
            <v>30.122478628093333</v>
          </cell>
          <cell r="X209">
            <v>5.2764389490909096</v>
          </cell>
          <cell r="Y209">
            <v>-1.8040880479999979</v>
          </cell>
          <cell r="Z209">
            <v>-2.3055015394444442</v>
          </cell>
          <cell r="AA209">
            <v>196.03832182802412</v>
          </cell>
          <cell r="AB209">
            <v>0.13664361298893576</v>
          </cell>
          <cell r="AC209">
            <v>4.6182777401568315E-2</v>
          </cell>
          <cell r="AD209">
            <v>0.18282639039050408</v>
          </cell>
          <cell r="AE209">
            <v>14.874000000000001</v>
          </cell>
          <cell r="AF209">
            <v>35.719349956987656</v>
          </cell>
          <cell r="AG209">
            <v>45.633769106525087</v>
          </cell>
          <cell r="AH209">
            <v>29.007659191067077</v>
          </cell>
          <cell r="AI209">
            <v>13.842499999999999</v>
          </cell>
          <cell r="AJ209">
            <v>18.993415301163697</v>
          </cell>
          <cell r="AK209">
            <v>10.192499999999999</v>
          </cell>
          <cell r="AP209">
            <v>-3.6613825587766673</v>
          </cell>
          <cell r="AQ209">
            <v>8.7264231579923432</v>
          </cell>
          <cell r="AR209">
            <v>-5.596947169396195</v>
          </cell>
          <cell r="AS209">
            <v>-3.1146536916616228</v>
          </cell>
          <cell r="AT209">
            <v>-8.3159151322199989</v>
          </cell>
          <cell r="AU209">
            <v>-17.411182903103697</v>
          </cell>
          <cell r="AV209">
            <v>-5.8573132323700001</v>
          </cell>
          <cell r="AY209">
            <v>55.658390556203337</v>
          </cell>
          <cell r="AZ209">
            <v>95.695212493332235</v>
          </cell>
          <cell r="BA209">
            <v>121.58821799273768</v>
          </cell>
          <cell r="BB209">
            <v>127.11480286051768</v>
          </cell>
          <cell r="BC209">
            <v>128.69703525857767</v>
          </cell>
          <cell r="BD209">
            <v>133.03222202620768</v>
          </cell>
          <cell r="BE209">
            <v>164.74899383828435</v>
          </cell>
          <cell r="BH209">
            <v>50.593349956987652</v>
          </cell>
          <cell r="BI209">
            <v>96.227119063512731</v>
          </cell>
          <cell r="BJ209">
            <v>125.23477825457981</v>
          </cell>
          <cell r="BK209">
            <v>139.07727825457982</v>
          </cell>
          <cell r="BL209">
            <v>158.07069355574353</v>
          </cell>
          <cell r="BM209">
            <v>168.26319355574353</v>
          </cell>
          <cell r="BN209">
            <v>168.26319355574353</v>
          </cell>
          <cell r="BQ209">
            <v>5.0650405992156795</v>
          </cell>
          <cell r="BR209">
            <v>-0.53190657018050835</v>
          </cell>
          <cell r="BS209">
            <v>-3.6465602618421329</v>
          </cell>
          <cell r="BT209">
            <v>-11.962475394062128</v>
          </cell>
          <cell r="BU209">
            <v>-29.373658297165818</v>
          </cell>
          <cell r="BV209">
            <v>-35.23097152953585</v>
          </cell>
          <cell r="BW209">
            <v>-3.5141997174591779</v>
          </cell>
          <cell r="BZ209">
            <v>0.11527168864936856</v>
          </cell>
          <cell r="CA209">
            <v>0.14158116180017424</v>
          </cell>
        </row>
        <row r="211">
          <cell r="Q211">
            <v>-898.17607637743731</v>
          </cell>
          <cell r="R211">
            <v>-492.69662900054749</v>
          </cell>
          <cell r="S211">
            <v>-529.96331812136691</v>
          </cell>
          <cell r="T211">
            <v>-48.135999511051637</v>
          </cell>
          <cell r="U211">
            <v>-352.12698130766631</v>
          </cell>
          <cell r="V211">
            <v>68.079818921654237</v>
          </cell>
          <cell r="W211">
            <v>-740.25516685777541</v>
          </cell>
          <cell r="X211">
            <v>-120.43356291478597</v>
          </cell>
          <cell r="Y211">
            <v>-677.76898471483014</v>
          </cell>
          <cell r="Z211">
            <v>-690.35206839781142</v>
          </cell>
          <cell r="AA211">
            <v>-6377.9315271171818</v>
          </cell>
          <cell r="AB211" t="e">
            <v>#VALUE!</v>
          </cell>
          <cell r="AC211" t="e">
            <v>#VALUE!</v>
          </cell>
          <cell r="AD211">
            <v>-5.3737534187206979</v>
          </cell>
          <cell r="AE211">
            <v>-590.84550737537961</v>
          </cell>
          <cell r="AF211">
            <v>-5.8513556460382858</v>
          </cell>
          <cell r="AG211">
            <v>-1278.491249348541</v>
          </cell>
          <cell r="AH211">
            <v>-412.28770791375325</v>
          </cell>
          <cell r="AI211">
            <v>-575.78383538391904</v>
          </cell>
          <cell r="AJ211">
            <v>-124.97289252651451</v>
          </cell>
          <cell r="AK211">
            <v>-383.4861645511761</v>
          </cell>
          <cell r="AP211">
            <v>28.016851809059744</v>
          </cell>
          <cell r="AQ211">
            <v>-80.803824677886581</v>
          </cell>
          <cell r="AR211">
            <v>380.31517297110372</v>
          </cell>
          <cell r="AS211">
            <v>-80.408921086794237</v>
          </cell>
          <cell r="AT211">
            <v>45.82051726255213</v>
          </cell>
          <cell r="AU211">
            <v>76.836893015462877</v>
          </cell>
          <cell r="AV211">
            <v>31.35918324350979</v>
          </cell>
          <cell r="AY211">
            <v>-649.48383589024479</v>
          </cell>
          <cell r="AZ211">
            <v>-1547.6599122676812</v>
          </cell>
          <cell r="BA211">
            <v>-2040.3565412682294</v>
          </cell>
          <cell r="BB211">
            <v>-2570.319859389595</v>
          </cell>
          <cell r="BC211">
            <v>-2618.4558589006483</v>
          </cell>
          <cell r="BD211">
            <v>-2970.5828402083148</v>
          </cell>
          <cell r="BE211">
            <v>-2902.5030212866604</v>
          </cell>
          <cell r="BH211">
            <v>-654.69573213025092</v>
          </cell>
          <cell r="BI211">
            <v>-1875.1881123699593</v>
          </cell>
          <cell r="BJ211">
            <v>-2287.4758202837115</v>
          </cell>
          <cell r="BK211">
            <v>-2863.2596556676308</v>
          </cell>
          <cell r="BL211">
            <v>-2988.2325481941452</v>
          </cell>
          <cell r="BM211">
            <v>-3371.7187127453221</v>
          </cell>
          <cell r="BN211">
            <v>-3371.7187127453221</v>
          </cell>
          <cell r="BQ211">
            <v>5.2118962400065936</v>
          </cell>
          <cell r="BR211">
            <v>327.52820010227668</v>
          </cell>
          <cell r="BS211">
            <v>247.11927901548228</v>
          </cell>
          <cell r="BT211">
            <v>292.93979627803418</v>
          </cell>
          <cell r="BU211">
            <v>369.77668929349653</v>
          </cell>
          <cell r="BV211">
            <v>401.13587253700734</v>
          </cell>
          <cell r="BW211">
            <v>469.21569145866169</v>
          </cell>
          <cell r="BZ211">
            <v>-2.3453052193694042</v>
          </cell>
          <cell r="CA211">
            <v>-2.6765077471696186</v>
          </cell>
        </row>
        <row r="213">
          <cell r="Q213">
            <v>890.21048852006777</v>
          </cell>
          <cell r="R213">
            <v>489.17203684915734</v>
          </cell>
          <cell r="S213">
            <v>526.4204178422068</v>
          </cell>
          <cell r="T213">
            <v>43.394175336371745</v>
          </cell>
          <cell r="U213">
            <v>349.40508194797616</v>
          </cell>
          <cell r="V213">
            <v>-71.192121544294196</v>
          </cell>
          <cell r="W213">
            <v>731.83657163718533</v>
          </cell>
          <cell r="X213">
            <v>67.723031706633833</v>
          </cell>
          <cell r="Y213">
            <v>525.49327769146953</v>
          </cell>
          <cell r="Z213">
            <v>602.33735328808928</v>
          </cell>
          <cell r="AA213">
            <v>4794.4480445924892</v>
          </cell>
          <cell r="AB213" t="e">
            <v>#REF!</v>
          </cell>
          <cell r="AC213" t="e">
            <v>#VALUE!</v>
          </cell>
          <cell r="AD213" t="e">
            <v>#REF!</v>
          </cell>
          <cell r="AE213">
            <v>590.84550737537973</v>
          </cell>
          <cell r="AF213">
            <v>5.8513556460382006</v>
          </cell>
          <cell r="AG213">
            <v>1278.4912493485408</v>
          </cell>
          <cell r="AH213">
            <v>412.28770791375325</v>
          </cell>
          <cell r="AI213">
            <v>575.78383538391915</v>
          </cell>
          <cell r="AJ213">
            <v>124.97289252651456</v>
          </cell>
          <cell r="AK213">
            <v>383.48616455117605</v>
          </cell>
          <cell r="AP213">
            <v>-31.100615840510159</v>
          </cell>
          <cell r="AQ213">
            <v>74.051484136716454</v>
          </cell>
          <cell r="AR213">
            <v>-388.28076082847303</v>
          </cell>
          <cell r="AS213">
            <v>76.884328935404085</v>
          </cell>
          <cell r="AT213">
            <v>-49.363417541712352</v>
          </cell>
          <cell r="AU213">
            <v>-81.578717190142811</v>
          </cell>
          <cell r="AV213">
            <v>-34.081082603199889</v>
          </cell>
          <cell r="AY213">
            <v>846.91361491698945</v>
          </cell>
          <cell r="AZ213">
            <v>1529.8582198376919</v>
          </cell>
          <cell r="BA213">
            <v>2019.030256686849</v>
          </cell>
          <cell r="BB213">
            <v>2545.450674529056</v>
          </cell>
          <cell r="BC213">
            <v>2588.8448498654279</v>
          </cell>
          <cell r="BD213">
            <v>2938.2499318134041</v>
          </cell>
          <cell r="BE213">
            <v>2867.0578102691097</v>
          </cell>
          <cell r="BH213">
            <v>1958.1032157369573</v>
          </cell>
          <cell r="BI213">
            <v>1875.1881123699591</v>
          </cell>
          <cell r="BJ213">
            <v>2287.475820283712</v>
          </cell>
          <cell r="BK213">
            <v>2863.2596556676313</v>
          </cell>
          <cell r="BL213">
            <v>2988.2325481941457</v>
          </cell>
          <cell r="BM213">
            <v>3371.7187127453217</v>
          </cell>
          <cell r="BN213">
            <v>3371.7187127453217</v>
          </cell>
          <cell r="BQ213">
            <v>-1111.1896008199676</v>
          </cell>
          <cell r="BR213">
            <v>-345.32989253226719</v>
          </cell>
          <cell r="BS213">
            <v>-268.44556359686328</v>
          </cell>
          <cell r="BT213">
            <v>-317.80898113857529</v>
          </cell>
          <cell r="BU213">
            <v>-399.38769832871822</v>
          </cell>
          <cell r="BV213">
            <v>-433.46878093191754</v>
          </cell>
          <cell r="BW213">
            <v>-504.66090247621196</v>
          </cell>
          <cell r="BZ213">
            <v>2.3187831553044198</v>
          </cell>
          <cell r="CA213">
            <v>2.6765077471696195</v>
          </cell>
        </row>
        <row r="215">
          <cell r="Q215">
            <v>2.9894620952923319</v>
          </cell>
          <cell r="R215">
            <v>-164.77816799706926</v>
          </cell>
          <cell r="S215">
            <v>-295.41200307049195</v>
          </cell>
          <cell r="T215">
            <v>1.1693489214799122</v>
          </cell>
          <cell r="U215">
            <v>-10.156778040254203</v>
          </cell>
          <cell r="V215">
            <v>2.7434353768728386</v>
          </cell>
          <cell r="W215">
            <v>-93.031746413190135</v>
          </cell>
          <cell r="X215">
            <v>43.998957597113261</v>
          </cell>
          <cell r="Y215">
            <v>24.711978947638865</v>
          </cell>
          <cell r="Z215">
            <v>189.83435812515449</v>
          </cell>
          <cell r="AA215">
            <v>759.39219859510604</v>
          </cell>
          <cell r="AB215">
            <v>0.59382894509799877</v>
          </cell>
          <cell r="AC215" t="e">
            <v>#VALUE!</v>
          </cell>
          <cell r="AD215">
            <v>0.90598130732779336</v>
          </cell>
          <cell r="AE215">
            <v>34.883341659996759</v>
          </cell>
          <cell r="AF215">
            <v>828.78595952418698</v>
          </cell>
          <cell r="AG215">
            <v>36.778636096465263</v>
          </cell>
          <cell r="AH215">
            <v>-103.89689032556608</v>
          </cell>
          <cell r="AI215">
            <v>-242.52994766108284</v>
          </cell>
          <cell r="AJ215">
            <v>52.087356112903294</v>
          </cell>
          <cell r="AK215">
            <v>40.920096609244311</v>
          </cell>
          <cell r="AP215">
            <v>-20.444387593865255</v>
          </cell>
          <cell r="AQ215">
            <v>214.09843946224112</v>
          </cell>
          <cell r="AR215">
            <v>-33.789174001172931</v>
          </cell>
          <cell r="AS215">
            <v>-60.881277671503184</v>
          </cell>
          <cell r="AT215">
            <v>-52.882055409409105</v>
          </cell>
          <cell r="AU215">
            <v>-50.918007191423385</v>
          </cell>
          <cell r="AV215">
            <v>-51.076874649498514</v>
          </cell>
          <cell r="AY215">
            <v>1057.3233530525597</v>
          </cell>
          <cell r="AZ215">
            <v>1060.3128151478522</v>
          </cell>
          <cell r="BA215">
            <v>895.53464715078269</v>
          </cell>
          <cell r="BB215">
            <v>600.12264408029068</v>
          </cell>
          <cell r="BC215">
            <v>601.29199300177049</v>
          </cell>
          <cell r="BD215">
            <v>591.13521496151668</v>
          </cell>
          <cell r="BE215">
            <v>593.87865033838955</v>
          </cell>
          <cell r="BH215">
            <v>863.66930118418372</v>
          </cell>
          <cell r="BI215">
            <v>900.44793728064883</v>
          </cell>
          <cell r="BJ215">
            <v>796.55104695508282</v>
          </cell>
          <cell r="BK215">
            <v>554.0210992939999</v>
          </cell>
          <cell r="BL215">
            <v>606.10845540690343</v>
          </cell>
          <cell r="BM215">
            <v>647.02855201614761</v>
          </cell>
          <cell r="BN215">
            <v>647.02855201614761</v>
          </cell>
          <cell r="BQ215">
            <v>193.65405186837592</v>
          </cell>
          <cell r="BR215">
            <v>159.86487786720298</v>
          </cell>
          <cell r="BS215">
            <v>98.983600195699808</v>
          </cell>
          <cell r="BT215">
            <v>46.101544786290731</v>
          </cell>
          <cell r="BU215">
            <v>-4.8164624051326967</v>
          </cell>
          <cell r="BV215">
            <v>-55.893337054630933</v>
          </cell>
          <cell r="BW215">
            <v>-53.149901677758066</v>
          </cell>
          <cell r="BZ215">
            <v>0.53856674526648618</v>
          </cell>
          <cell r="CA215">
            <v>0.54288076659293216</v>
          </cell>
        </row>
        <row r="216">
          <cell r="Q216">
            <v>50.937557258403459</v>
          </cell>
          <cell r="R216">
            <v>37.39597355783981</v>
          </cell>
          <cell r="S216">
            <v>28.940566820708035</v>
          </cell>
          <cell r="T216">
            <v>30.712036930479918</v>
          </cell>
          <cell r="U216">
            <v>35.931942268301334</v>
          </cell>
          <cell r="V216">
            <v>84.686021780539505</v>
          </cell>
          <cell r="W216">
            <v>19.657021299809866</v>
          </cell>
          <cell r="X216">
            <v>156.90923406822435</v>
          </cell>
          <cell r="Y216">
            <v>37.102043533638863</v>
          </cell>
          <cell r="Z216">
            <v>219.22892079860355</v>
          </cell>
          <cell r="AA216">
            <v>1857.9286864009418</v>
          </cell>
          <cell r="AB216">
            <v>1.3273924406620223</v>
          </cell>
          <cell r="AC216">
            <v>0.31215236222979464</v>
          </cell>
          <cell r="AD216">
            <v>1.6395448028918169</v>
          </cell>
          <cell r="AE216">
            <v>60.376594117647059</v>
          </cell>
          <cell r="AF216">
            <v>907.19443251295115</v>
          </cell>
          <cell r="AG216">
            <v>88.734204559688919</v>
          </cell>
          <cell r="AH216">
            <v>42.168021793740976</v>
          </cell>
          <cell r="AI216">
            <v>57.148968347815327</v>
          </cell>
          <cell r="AJ216">
            <v>74.831563446766765</v>
          </cell>
          <cell r="AK216">
            <v>92.394756404912712</v>
          </cell>
          <cell r="AP216">
            <v>-21.052551138182217</v>
          </cell>
          <cell r="AQ216">
            <v>209.90889259197706</v>
          </cell>
          <cell r="AR216">
            <v>-37.796647301285461</v>
          </cell>
          <cell r="AS216">
            <v>-4.7720482359011669</v>
          </cell>
          <cell r="AT216">
            <v>-28.208401527107291</v>
          </cell>
          <cell r="AU216">
            <v>-44.119526516286847</v>
          </cell>
          <cell r="AV216">
            <v>-56.462814136611378</v>
          </cell>
          <cell r="AY216">
            <v>1156.427368084393</v>
          </cell>
          <cell r="AZ216">
            <v>1207.3649253427966</v>
          </cell>
          <cell r="BA216">
            <v>1244.7608989006362</v>
          </cell>
          <cell r="BB216">
            <v>1273.7014657213442</v>
          </cell>
          <cell r="BC216">
            <v>1304.413502651824</v>
          </cell>
          <cell r="BD216">
            <v>1340.3454449201256</v>
          </cell>
          <cell r="BE216">
            <v>1425.0314667006651</v>
          </cell>
          <cell r="BH216">
            <v>967.57102663059823</v>
          </cell>
          <cell r="BI216">
            <v>1056.305231190287</v>
          </cell>
          <cell r="BJ216">
            <v>1098.473252984028</v>
          </cell>
          <cell r="BK216">
            <v>1155.6222213318433</v>
          </cell>
          <cell r="BL216">
            <v>1230.4537847786103</v>
          </cell>
          <cell r="BM216">
            <v>1322.8485411835227</v>
          </cell>
          <cell r="BN216">
            <v>1322.8485411835227</v>
          </cell>
          <cell r="BQ216">
            <v>188.85634145379476</v>
          </cell>
          <cell r="BR216">
            <v>151.05969415250931</v>
          </cell>
          <cell r="BS216">
            <v>146.28764591660814</v>
          </cell>
          <cell r="BT216">
            <v>118.07924438950084</v>
          </cell>
          <cell r="BU216">
            <v>73.959717873214018</v>
          </cell>
          <cell r="BV216">
            <v>17.496903736602917</v>
          </cell>
          <cell r="BW216">
            <v>102.18292551714239</v>
          </cell>
          <cell r="BZ216">
            <v>1.1683404116155947</v>
          </cell>
          <cell r="CA216">
            <v>1.1020959829529851</v>
          </cell>
        </row>
        <row r="217">
          <cell r="Q217">
            <v>47.948095163111127</v>
          </cell>
          <cell r="R217">
            <v>202.17414155490908</v>
          </cell>
          <cell r="S217">
            <v>324.35256989120001</v>
          </cell>
          <cell r="T217">
            <v>29.542688009000006</v>
          </cell>
          <cell r="U217">
            <v>46.088720308555537</v>
          </cell>
          <cell r="V217">
            <v>81.942586403666667</v>
          </cell>
          <cell r="W217">
            <v>112.688767713</v>
          </cell>
          <cell r="X217">
            <v>112.91027647111109</v>
          </cell>
          <cell r="Y217">
            <v>12.390064585999998</v>
          </cell>
          <cell r="Z217">
            <v>29.394562673449055</v>
          </cell>
          <cell r="AA217">
            <v>1098.5364878058358</v>
          </cell>
          <cell r="AB217">
            <v>0.73356349556402356</v>
          </cell>
          <cell r="AC217" t="str">
            <v xml:space="preserve"> </v>
          </cell>
          <cell r="AD217">
            <v>0.73356349556402356</v>
          </cell>
          <cell r="AE217">
            <v>25.493252457650296</v>
          </cell>
          <cell r="AF217">
            <v>78.408472988764188</v>
          </cell>
          <cell r="AG217">
            <v>51.955568463223656</v>
          </cell>
          <cell r="AH217">
            <v>146.06491211930705</v>
          </cell>
          <cell r="AI217">
            <v>299.67891600889817</v>
          </cell>
          <cell r="AJ217">
            <v>22.744207333863471</v>
          </cell>
          <cell r="AK217">
            <v>51.474659795668401</v>
          </cell>
          <cell r="AP217">
            <v>-0.60816354431695885</v>
          </cell>
          <cell r="AQ217">
            <v>-4.1895468702641807</v>
          </cell>
          <cell r="AR217">
            <v>-4.0074733001125296</v>
          </cell>
          <cell r="AS217">
            <v>56.109229435602032</v>
          </cell>
          <cell r="AT217">
            <v>24.673653882301835</v>
          </cell>
          <cell r="AU217">
            <v>6.7984806751365348</v>
          </cell>
          <cell r="AV217">
            <v>-5.3859394871128643</v>
          </cell>
          <cell r="AY217">
            <v>99.104015031833342</v>
          </cell>
          <cell r="AZ217">
            <v>147.05211019494448</v>
          </cell>
          <cell r="BA217">
            <v>349.22625174985353</v>
          </cell>
          <cell r="BB217">
            <v>673.57882164105354</v>
          </cell>
          <cell r="BC217">
            <v>703.12150965005355</v>
          </cell>
          <cell r="BD217">
            <v>749.21022995860903</v>
          </cell>
          <cell r="BE217">
            <v>831.15281636227564</v>
          </cell>
          <cell r="BH217">
            <v>103.90172544641449</v>
          </cell>
          <cell r="BI217">
            <v>155.85729390963814</v>
          </cell>
          <cell r="BJ217">
            <v>301.9222060289452</v>
          </cell>
          <cell r="BK217">
            <v>601.60112203784342</v>
          </cell>
          <cell r="BL217">
            <v>624.34532937170684</v>
          </cell>
          <cell r="BM217">
            <v>675.8199891673753</v>
          </cell>
          <cell r="BN217">
            <v>675.8199891673753</v>
          </cell>
          <cell r="BQ217">
            <v>-4.7977104145811467</v>
          </cell>
          <cell r="BR217">
            <v>-8.8051837146936691</v>
          </cell>
          <cell r="BS217">
            <v>47.304045720908334</v>
          </cell>
          <cell r="BT217">
            <v>71.977699603210112</v>
          </cell>
          <cell r="BU217">
            <v>78.776180278346715</v>
          </cell>
          <cell r="BV217">
            <v>73.390240791233737</v>
          </cell>
          <cell r="BW217">
            <v>155.33282719490035</v>
          </cell>
          <cell r="BZ217">
            <v>0.6297736663491087</v>
          </cell>
          <cell r="CA217">
            <v>0.55921521636005278</v>
          </cell>
        </row>
        <row r="219">
          <cell r="Q219">
            <v>206.27681502049001</v>
          </cell>
          <cell r="R219">
            <v>639.88448619985002</v>
          </cell>
          <cell r="S219">
            <v>652.53199717977998</v>
          </cell>
          <cell r="T219">
            <v>248.23939259432001</v>
          </cell>
          <cell r="U219">
            <v>304.01528822100011</v>
          </cell>
          <cell r="V219">
            <v>420.99438568722007</v>
          </cell>
          <cell r="W219">
            <v>46.367790962989829</v>
          </cell>
          <cell r="X219">
            <v>583.99450135899986</v>
          </cell>
          <cell r="Y219">
            <v>70.188505643999989</v>
          </cell>
          <cell r="Z219">
            <v>-202.6288738400001</v>
          </cell>
          <cell r="AA219">
            <v>4055.4105103676493</v>
          </cell>
          <cell r="AB219" t="e">
            <v>#REF!</v>
          </cell>
          <cell r="AC219" t="e">
            <v>#REF!</v>
          </cell>
          <cell r="AD219" t="e">
            <v>#REF!</v>
          </cell>
          <cell r="AE219">
            <v>257.41269150581837</v>
          </cell>
          <cell r="AF219">
            <v>166.61080914380179</v>
          </cell>
          <cell r="AG219">
            <v>202.07436370859196</v>
          </cell>
          <cell r="AH219">
            <v>577.5588673884979</v>
          </cell>
          <cell r="AI219">
            <v>367.08218172257608</v>
          </cell>
          <cell r="AJ219">
            <v>346.06187568583243</v>
          </cell>
          <cell r="AK219">
            <v>117.1763798686485</v>
          </cell>
          <cell r="AP219">
            <v>602.54650179418172</v>
          </cell>
          <cell r="AQ219">
            <v>58.97621889519823</v>
          </cell>
          <cell r="AR219">
            <v>4.2024513118980451</v>
          </cell>
          <cell r="AS219">
            <v>62.325618811352115</v>
          </cell>
          <cell r="AT219">
            <v>285.4498154572039</v>
          </cell>
          <cell r="AU219">
            <v>-97.822483091512424</v>
          </cell>
          <cell r="AV219">
            <v>186.83890835235161</v>
          </cell>
          <cell r="AY219">
            <v>1085.5462213389999</v>
          </cell>
          <cell r="AZ219">
            <v>1291.8230363594898</v>
          </cell>
          <cell r="BA219">
            <v>1931.7075225593398</v>
          </cell>
          <cell r="BB219">
            <v>2584.2395197391197</v>
          </cell>
          <cell r="BC219">
            <v>2832.4789123334403</v>
          </cell>
          <cell r="BD219">
            <v>3136.4942005544403</v>
          </cell>
          <cell r="BE219">
            <v>3557.4885862416604</v>
          </cell>
          <cell r="BH219">
            <v>424.02350064962013</v>
          </cell>
          <cell r="BI219">
            <v>626.09786435821229</v>
          </cell>
          <cell r="BJ219">
            <v>1203.6567317467102</v>
          </cell>
          <cell r="BK219">
            <v>1570.7389134692862</v>
          </cell>
          <cell r="BL219">
            <v>1916.8007891551183</v>
          </cell>
          <cell r="BM219">
            <v>2033.9771690237667</v>
          </cell>
          <cell r="BN219">
            <v>2033.9771690237667</v>
          </cell>
          <cell r="BQ219">
            <v>661.52272068937975</v>
          </cell>
          <cell r="BR219">
            <v>665.72517200127766</v>
          </cell>
          <cell r="BS219">
            <v>728.05079081262954</v>
          </cell>
          <cell r="BT219">
            <v>1013.5006062698337</v>
          </cell>
          <cell r="BU219">
            <v>915.67812317832113</v>
          </cell>
          <cell r="BV219">
            <v>1102.5170315306736</v>
          </cell>
          <cell r="BW219">
            <v>1523.5114172178937</v>
          </cell>
          <cell r="BZ219">
            <v>2.5370019335130012</v>
          </cell>
          <cell r="CA219">
            <v>1.7168450176526209</v>
          </cell>
        </row>
        <row r="220">
          <cell r="Q220">
            <v>462.70712472049001</v>
          </cell>
          <cell r="R220">
            <v>1088.91101183302</v>
          </cell>
          <cell r="S220">
            <v>927.42099089452995</v>
          </cell>
          <cell r="T220">
            <v>395.50859826532002</v>
          </cell>
          <cell r="U220">
            <v>828.39575822100005</v>
          </cell>
          <cell r="V220">
            <v>692.66227908200005</v>
          </cell>
          <cell r="W220">
            <v>559.36255331399991</v>
          </cell>
          <cell r="X220">
            <v>641.7194013589999</v>
          </cell>
          <cell r="Y220">
            <v>155.74210564399999</v>
          </cell>
          <cell r="Z220">
            <v>149.57612615999989</v>
          </cell>
          <cell r="AA220">
            <v>7196.4493439323596</v>
          </cell>
          <cell r="AB220" t="e">
            <v>#REF!</v>
          </cell>
          <cell r="AC220" t="e">
            <v>#REF!</v>
          </cell>
          <cell r="AD220" t="e">
            <v>#REF!</v>
          </cell>
          <cell r="AE220">
            <v>396.71800000000002</v>
          </cell>
          <cell r="AF220">
            <v>230.15110914380179</v>
          </cell>
          <cell r="AG220">
            <v>437.34327619978995</v>
          </cell>
          <cell r="AH220">
            <v>997.21158021495796</v>
          </cell>
          <cell r="AI220">
            <v>670.7728257158501</v>
          </cell>
          <cell r="AJ220">
            <v>511.91857889883244</v>
          </cell>
          <cell r="AK220">
            <v>714.08966999580252</v>
          </cell>
          <cell r="AP220">
            <v>617.52199999999993</v>
          </cell>
          <cell r="AQ220">
            <v>50.052285295198232</v>
          </cell>
          <cell r="AR220">
            <v>25.36384852070006</v>
          </cell>
          <cell r="AS220">
            <v>91.699431618062022</v>
          </cell>
          <cell r="AT220">
            <v>256.64816517867985</v>
          </cell>
          <cell r="AU220">
            <v>-116.40998063351242</v>
          </cell>
          <cell r="AV220">
            <v>114.30608822519753</v>
          </cell>
          <cell r="AY220">
            <v>1294.4433944389998</v>
          </cell>
          <cell r="AZ220">
            <v>1757.1505191594899</v>
          </cell>
          <cell r="BA220">
            <v>2846.0615309925097</v>
          </cell>
          <cell r="BB220">
            <v>3773.4825218870396</v>
          </cell>
          <cell r="BC220">
            <v>4168.9911201523601</v>
          </cell>
          <cell r="BD220">
            <v>4997.3868783733597</v>
          </cell>
          <cell r="BE220">
            <v>5690.0491574553598</v>
          </cell>
          <cell r="BH220">
            <v>626.86910914380178</v>
          </cell>
          <cell r="BI220">
            <v>1064.2123853435919</v>
          </cell>
          <cell r="BJ220">
            <v>2061.4239655585498</v>
          </cell>
          <cell r="BK220">
            <v>2732.1967912743999</v>
          </cell>
          <cell r="BL220">
            <v>3244.1153701732319</v>
          </cell>
          <cell r="BM220">
            <v>3958.2050401690349</v>
          </cell>
          <cell r="BN220">
            <v>3958.2050401690349</v>
          </cell>
          <cell r="BQ220">
            <v>667.57428529519814</v>
          </cell>
          <cell r="BR220">
            <v>692.93813381589803</v>
          </cell>
          <cell r="BS220">
            <v>784.63756543395994</v>
          </cell>
          <cell r="BT220">
            <v>1041.28573061264</v>
          </cell>
          <cell r="BU220">
            <v>924.87574997912748</v>
          </cell>
          <cell r="BV220">
            <v>1039.1818382043248</v>
          </cell>
          <cell r="BW220">
            <v>1731.8441172863249</v>
          </cell>
          <cell r="BZ220">
            <v>3.7340925952072799</v>
          </cell>
          <cell r="CA220">
            <v>2.9056975255248991</v>
          </cell>
        </row>
        <row r="221">
          <cell r="Q221">
            <v>256.43030970000001</v>
          </cell>
          <cell r="R221">
            <v>449.02652563316997</v>
          </cell>
          <cell r="S221">
            <v>274.88899371474997</v>
          </cell>
          <cell r="T221">
            <v>147.26920567100001</v>
          </cell>
          <cell r="U221">
            <v>524.38046999999995</v>
          </cell>
          <cell r="V221">
            <v>271.66789339477998</v>
          </cell>
          <cell r="W221">
            <v>512.99476235101008</v>
          </cell>
          <cell r="X221">
            <v>57.724899999999998</v>
          </cell>
          <cell r="Y221">
            <v>85.553600000000003</v>
          </cell>
          <cell r="Z221">
            <v>352.20499999999998</v>
          </cell>
          <cell r="AA221">
            <v>3141.0388335647103</v>
          </cell>
          <cell r="AB221">
            <v>3.150803278221824</v>
          </cell>
          <cell r="AC221">
            <v>4.460308481439193E-2</v>
          </cell>
          <cell r="AD221">
            <v>3.1954063630362164</v>
          </cell>
          <cell r="AE221">
            <v>139.30530849418165</v>
          </cell>
          <cell r="AF221">
            <v>63.540300000000002</v>
          </cell>
          <cell r="AG221">
            <v>235.26891249119799</v>
          </cell>
          <cell r="AH221">
            <v>419.65271282646</v>
          </cell>
          <cell r="AI221">
            <v>303.69064399327402</v>
          </cell>
          <cell r="AJ221">
            <v>165.856703213</v>
          </cell>
          <cell r="AK221">
            <v>596.91329012715403</v>
          </cell>
          <cell r="AP221">
            <v>14.975498205818354</v>
          </cell>
          <cell r="AQ221">
            <v>-8.9239336000000051</v>
          </cell>
          <cell r="AR221">
            <v>21.161397208802015</v>
          </cell>
          <cell r="AS221">
            <v>29.373812806709964</v>
          </cell>
          <cell r="AT221">
            <v>-28.80165027852405</v>
          </cell>
          <cell r="AU221">
            <v>-18.587497541999994</v>
          </cell>
          <cell r="AV221">
            <v>-72.532820127154082</v>
          </cell>
          <cell r="AY221">
            <v>208.8971731</v>
          </cell>
          <cell r="AZ221">
            <v>465.32748279999998</v>
          </cell>
          <cell r="BA221">
            <v>914.35400843316995</v>
          </cell>
          <cell r="BB221">
            <v>1189.2430021479199</v>
          </cell>
          <cell r="BC221">
            <v>1336.5122078189199</v>
          </cell>
          <cell r="BD221">
            <v>1860.8926778189198</v>
          </cell>
          <cell r="BE221">
            <v>2132.5605712136999</v>
          </cell>
          <cell r="BH221">
            <v>202.84560849418165</v>
          </cell>
          <cell r="BI221">
            <v>438.11452098537961</v>
          </cell>
          <cell r="BJ221">
            <v>857.76723381183956</v>
          </cell>
          <cell r="BK221">
            <v>1161.4578778051136</v>
          </cell>
          <cell r="BL221">
            <v>1327.3145810181136</v>
          </cell>
          <cell r="BM221">
            <v>1924.2278711452677</v>
          </cell>
          <cell r="BN221">
            <v>1924.2278711452677</v>
          </cell>
          <cell r="BQ221">
            <v>6.0515646058183563</v>
          </cell>
          <cell r="BR221">
            <v>27.212961814620371</v>
          </cell>
          <cell r="BS221">
            <v>56.586774621330392</v>
          </cell>
          <cell r="BT221">
            <v>27.785124342806284</v>
          </cell>
          <cell r="BU221">
            <v>9.1976268008063471</v>
          </cell>
          <cell r="BV221">
            <v>-63.335193326347962</v>
          </cell>
          <cell r="BW221">
            <v>208.33270006843213</v>
          </cell>
          <cell r="BZ221">
            <v>1.1970906616942789</v>
          </cell>
          <cell r="CA221">
            <v>1.188852507872278</v>
          </cell>
        </row>
        <row r="223">
          <cell r="Q223">
            <v>1.5</v>
          </cell>
          <cell r="R223">
            <v>1.7</v>
          </cell>
          <cell r="S223">
            <v>0</v>
          </cell>
          <cell r="T223">
            <v>531.70000000000005</v>
          </cell>
          <cell r="U223">
            <v>6.7278700999999996E-2</v>
          </cell>
          <cell r="V223">
            <v>0</v>
          </cell>
          <cell r="W223">
            <v>0</v>
          </cell>
          <cell r="X223">
            <v>0</v>
          </cell>
          <cell r="Y223">
            <v>0</v>
          </cell>
          <cell r="Z223">
            <v>0</v>
          </cell>
          <cell r="AA223">
            <v>699.42638120100003</v>
          </cell>
          <cell r="AB223">
            <v>0.44292034051667567</v>
          </cell>
          <cell r="AC223" t="str">
            <v xml:space="preserve"> </v>
          </cell>
          <cell r="AD223">
            <v>0.44292034051667567</v>
          </cell>
          <cell r="AE223">
            <v>0</v>
          </cell>
          <cell r="AF223">
            <v>161.71041390315327</v>
          </cell>
          <cell r="AG223">
            <v>0</v>
          </cell>
          <cell r="AH223">
            <v>0</v>
          </cell>
          <cell r="AI223">
            <v>0</v>
          </cell>
          <cell r="AJ223">
            <v>0</v>
          </cell>
          <cell r="AK223">
            <v>535</v>
          </cell>
          <cell r="AP223">
            <v>0</v>
          </cell>
          <cell r="AQ223">
            <v>2.7486885968467334</v>
          </cell>
          <cell r="AR223">
            <v>1.5</v>
          </cell>
          <cell r="AS223">
            <v>1.7</v>
          </cell>
          <cell r="AT223">
            <v>0</v>
          </cell>
          <cell r="AU223">
            <v>531.70000000000005</v>
          </cell>
          <cell r="AV223">
            <v>-534.93272129900004</v>
          </cell>
          <cell r="AY223">
            <v>164.4591025</v>
          </cell>
          <cell r="AZ223">
            <v>165.9591025</v>
          </cell>
          <cell r="BA223">
            <v>167.65910250000002</v>
          </cell>
          <cell r="BB223">
            <v>167.65910250000002</v>
          </cell>
          <cell r="BC223">
            <v>699.35910250000006</v>
          </cell>
          <cell r="BD223">
            <v>699.42638120100003</v>
          </cell>
          <cell r="BE223">
            <v>699.42638120100003</v>
          </cell>
          <cell r="BH223">
            <v>161.71041390315327</v>
          </cell>
          <cell r="BI223">
            <v>161.71041390315327</v>
          </cell>
          <cell r="BJ223">
            <v>161.71041390315327</v>
          </cell>
          <cell r="BK223">
            <v>161.71041390315327</v>
          </cell>
          <cell r="BL223">
            <v>161.71041390315327</v>
          </cell>
          <cell r="BM223">
            <v>696.71041390315327</v>
          </cell>
          <cell r="BN223">
            <v>696.71041390315327</v>
          </cell>
          <cell r="BQ223">
            <v>2.7486885968467392</v>
          </cell>
          <cell r="BR223">
            <v>4.2486885968467387</v>
          </cell>
          <cell r="BS223">
            <v>5.9486885968467389</v>
          </cell>
          <cell r="BT223">
            <v>5.9486885968467389</v>
          </cell>
          <cell r="BU223">
            <v>537.6486885968468</v>
          </cell>
          <cell r="BV223">
            <v>2.7159672978467597</v>
          </cell>
          <cell r="BW223">
            <v>2.7159672978467597</v>
          </cell>
          <cell r="BZ223">
            <v>0.62640374392081233</v>
          </cell>
          <cell r="CA223">
            <v>0.14484119580029256</v>
          </cell>
        </row>
        <row r="225">
          <cell r="Q225">
            <v>565.83517064273622</v>
          </cell>
          <cell r="R225">
            <v>42.685130151915928</v>
          </cell>
          <cell r="S225">
            <v>121.74199531563303</v>
          </cell>
          <cell r="T225">
            <v>-716.07373198375967</v>
          </cell>
          <cell r="U225">
            <v>52.654882650232103</v>
          </cell>
          <cell r="V225">
            <v>-437.69818666688025</v>
          </cell>
          <cell r="W225">
            <v>746.83107923199123</v>
          </cell>
          <cell r="X225">
            <v>-565.43032128721893</v>
          </cell>
          <cell r="Y225">
            <v>459.90283069623837</v>
          </cell>
          <cell r="Z225">
            <v>1576.7389019964503</v>
          </cell>
          <cell r="AA225">
            <v>386.77268877276822</v>
          </cell>
          <cell r="AB225">
            <v>0.45947304115191756</v>
          </cell>
          <cell r="AC225" t="e">
            <v>#VALUE!</v>
          </cell>
          <cell r="AD225">
            <v>0.36190379312043519</v>
          </cell>
          <cell r="AE225">
            <v>508.70000000000005</v>
          </cell>
          <cell r="AF225">
            <v>0</v>
          </cell>
          <cell r="AG225">
            <v>0</v>
          </cell>
          <cell r="AH225">
            <v>0</v>
          </cell>
          <cell r="AI225">
            <v>0</v>
          </cell>
          <cell r="AJ225">
            <v>0</v>
          </cell>
          <cell r="AK225">
            <v>0</v>
          </cell>
          <cell r="AP225">
            <v>-728.72774775733319</v>
          </cell>
          <cell r="AQ225">
            <v>-1240.387314217237</v>
          </cell>
          <cell r="AR225">
            <v>565.83517064273622</v>
          </cell>
          <cell r="AS225">
            <v>42.685130151915928</v>
          </cell>
          <cell r="AT225">
            <v>121.74199531563303</v>
          </cell>
          <cell r="AU225">
            <v>-716.07373198375967</v>
          </cell>
          <cell r="AV225">
            <v>52.654882650232103</v>
          </cell>
          <cell r="AY225">
            <v>-1460.4150619745701</v>
          </cell>
          <cell r="AZ225">
            <v>-894.57989133183389</v>
          </cell>
          <cell r="BA225">
            <v>-851.89476117991796</v>
          </cell>
          <cell r="BB225">
            <v>-730.1527658642849</v>
          </cell>
          <cell r="BC225">
            <v>-1446.2264978480446</v>
          </cell>
          <cell r="BD225">
            <v>-1393.5716151978124</v>
          </cell>
          <cell r="BE225">
            <v>-1831.2698018646927</v>
          </cell>
          <cell r="BH225">
            <v>508.70000000000005</v>
          </cell>
          <cell r="BI225">
            <v>508.70000000000005</v>
          </cell>
          <cell r="BJ225">
            <v>508.70000000000005</v>
          </cell>
          <cell r="BK225">
            <v>508.70000000000005</v>
          </cell>
          <cell r="BL225">
            <v>508.70000000000005</v>
          </cell>
          <cell r="BM225">
            <v>508.70000000000005</v>
          </cell>
          <cell r="BN225">
            <v>508.70000000000005</v>
          </cell>
          <cell r="BQ225">
            <v>-1969.1150619745699</v>
          </cell>
          <cell r="BR225">
            <v>-1403.2798913318338</v>
          </cell>
          <cell r="BS225">
            <v>-1360.5947611799179</v>
          </cell>
          <cell r="BT225">
            <v>-1238.8527658642849</v>
          </cell>
          <cell r="BU225">
            <v>-1954.9264978480446</v>
          </cell>
          <cell r="BV225">
            <v>-1902.2716151978125</v>
          </cell>
          <cell r="BW225">
            <v>-2339.9698018646927</v>
          </cell>
          <cell r="BZ225">
            <v>-1.2953598367006307</v>
          </cell>
          <cell r="CA225">
            <v>0.45563371291434246</v>
          </cell>
        </row>
        <row r="226">
          <cell r="Q226">
            <v>-30.112321813264227</v>
          </cell>
          <cell r="R226">
            <v>293.96046498791429</v>
          </cell>
          <cell r="S226">
            <v>131.99697951248331</v>
          </cell>
          <cell r="T226">
            <v>-429.1030702787582</v>
          </cell>
          <cell r="U226">
            <v>53.862612822234006</v>
          </cell>
          <cell r="V226">
            <v>222.47641698612006</v>
          </cell>
          <cell r="W226">
            <v>264.01452723499602</v>
          </cell>
          <cell r="X226">
            <v>46.525055275661792</v>
          </cell>
          <cell r="Y226">
            <v>54.253219819235881</v>
          </cell>
          <cell r="Z226">
            <v>578.56029855644999</v>
          </cell>
          <cell r="AA226">
            <v>603.55169489150296</v>
          </cell>
          <cell r="AB226">
            <v>0.3713819486434935</v>
          </cell>
          <cell r="AC226" t="str">
            <v xml:space="preserve"> </v>
          </cell>
          <cell r="AD226">
            <v>0.3713819486434935</v>
          </cell>
          <cell r="AE226">
            <v>538.70000000000005</v>
          </cell>
          <cell r="AF226">
            <v>0</v>
          </cell>
          <cell r="AG226">
            <v>0</v>
          </cell>
          <cell r="AH226">
            <v>0</v>
          </cell>
          <cell r="AI226">
            <v>0</v>
          </cell>
          <cell r="AJ226">
            <v>0</v>
          </cell>
          <cell r="AK226">
            <v>0</v>
          </cell>
          <cell r="AP226">
            <v>-305.24850433333336</v>
          </cell>
          <cell r="AQ226">
            <v>-816.33398387823672</v>
          </cell>
          <cell r="AR226">
            <v>-30.112321813264227</v>
          </cell>
          <cell r="AS226">
            <v>293.96046498791429</v>
          </cell>
          <cell r="AT226">
            <v>131.99697951248331</v>
          </cell>
          <cell r="AU226">
            <v>-429.1030702787582</v>
          </cell>
          <cell r="AV226">
            <v>53.862612822234006</v>
          </cell>
          <cell r="AY226">
            <v>-582.88248821157003</v>
          </cell>
          <cell r="AZ226">
            <v>-612.99481002483424</v>
          </cell>
          <cell r="BA226">
            <v>-319.03434503691994</v>
          </cell>
          <cell r="BB226">
            <v>-187.03736552443661</v>
          </cell>
          <cell r="BC226">
            <v>-616.1404358031948</v>
          </cell>
          <cell r="BD226">
            <v>-562.27782298096076</v>
          </cell>
          <cell r="BE226">
            <v>-339.80140599484071</v>
          </cell>
          <cell r="BH226">
            <v>538.70000000000005</v>
          </cell>
          <cell r="BI226">
            <v>538.70000000000005</v>
          </cell>
          <cell r="BJ226">
            <v>538.70000000000005</v>
          </cell>
          <cell r="BK226">
            <v>538.70000000000005</v>
          </cell>
          <cell r="BL226">
            <v>538.70000000000005</v>
          </cell>
          <cell r="BM226">
            <v>538.70000000000005</v>
          </cell>
          <cell r="BN226">
            <v>538.70000000000005</v>
          </cell>
          <cell r="BQ226">
            <v>-1121.5824882115699</v>
          </cell>
          <cell r="BR226">
            <v>-1151.6948100248342</v>
          </cell>
          <cell r="BS226">
            <v>-857.73434503691999</v>
          </cell>
          <cell r="BT226">
            <v>-725.73736552443665</v>
          </cell>
          <cell r="BU226">
            <v>-1154.8404358031949</v>
          </cell>
          <cell r="BV226">
            <v>-1100.9778229809608</v>
          </cell>
          <cell r="BW226">
            <v>-878.50140599484075</v>
          </cell>
          <cell r="BZ226">
            <v>-0.55186623637049481</v>
          </cell>
          <cell r="CA226">
            <v>0.48250418939838075</v>
          </cell>
        </row>
        <row r="227">
          <cell r="Q227">
            <v>595.94749245600042</v>
          </cell>
          <cell r="R227">
            <v>-251.27533483599836</v>
          </cell>
          <cell r="S227">
            <v>-10.254984196850273</v>
          </cell>
          <cell r="T227">
            <v>-286.97066170500148</v>
          </cell>
          <cell r="U227">
            <v>-1.2077301720019022</v>
          </cell>
          <cell r="V227">
            <v>-660.1746036530003</v>
          </cell>
          <cell r="W227">
            <v>482.81655199699526</v>
          </cell>
          <cell r="X227">
            <v>-611.9553765628807</v>
          </cell>
          <cell r="Y227">
            <v>405.64961087700249</v>
          </cell>
          <cell r="Z227">
            <v>998.17860344000019</v>
          </cell>
          <cell r="AA227">
            <v>-216.77900611873474</v>
          </cell>
          <cell r="AB227">
            <v>8.8091092508424063E-2</v>
          </cell>
          <cell r="AC227">
            <v>-9.7569248031482342E-2</v>
          </cell>
          <cell r="AD227">
            <v>-9.4781555230582879E-3</v>
          </cell>
          <cell r="AE227">
            <v>-30</v>
          </cell>
          <cell r="AF227">
            <v>0</v>
          </cell>
          <cell r="AG227">
            <v>0</v>
          </cell>
          <cell r="AH227">
            <v>0</v>
          </cell>
          <cell r="AI227">
            <v>0</v>
          </cell>
          <cell r="AJ227">
            <v>0</v>
          </cell>
          <cell r="AK227">
            <v>0</v>
          </cell>
          <cell r="AP227">
            <v>-423.47924342399983</v>
          </cell>
          <cell r="AQ227">
            <v>-424.05333033900024</v>
          </cell>
          <cell r="AR227">
            <v>595.94749245600042</v>
          </cell>
          <cell r="AS227">
            <v>-251.27533483599836</v>
          </cell>
          <cell r="AT227">
            <v>-10.254984196850273</v>
          </cell>
          <cell r="AU227">
            <v>-286.97066170500148</v>
          </cell>
          <cell r="AV227">
            <v>-1.2077301720019022</v>
          </cell>
          <cell r="AY227">
            <v>-877.53257376300007</v>
          </cell>
          <cell r="AZ227">
            <v>-281.58508130699965</v>
          </cell>
          <cell r="BA227">
            <v>-532.86041614299802</v>
          </cell>
          <cell r="BB227">
            <v>-543.11540033984829</v>
          </cell>
          <cell r="BC227">
            <v>-830.08606204484977</v>
          </cell>
          <cell r="BD227">
            <v>-831.29379221685167</v>
          </cell>
          <cell r="BE227">
            <v>-1491.468395869852</v>
          </cell>
          <cell r="BH227">
            <v>-30</v>
          </cell>
          <cell r="BI227">
            <v>-30</v>
          </cell>
          <cell r="BJ227">
            <v>-30</v>
          </cell>
          <cell r="BK227">
            <v>-30</v>
          </cell>
          <cell r="BL227">
            <v>-30</v>
          </cell>
          <cell r="BM227">
            <v>-30</v>
          </cell>
          <cell r="BN227">
            <v>-30</v>
          </cell>
          <cell r="BQ227">
            <v>-847.53257376300007</v>
          </cell>
          <cell r="BR227">
            <v>-251.58508130699965</v>
          </cell>
          <cell r="BS227">
            <v>-502.86041614299802</v>
          </cell>
          <cell r="BT227">
            <v>-513.11540033984829</v>
          </cell>
          <cell r="BU227">
            <v>-800.08606204484977</v>
          </cell>
          <cell r="BV227">
            <v>-801.29379221685167</v>
          </cell>
          <cell r="BW227">
            <v>-1461.468395869852</v>
          </cell>
          <cell r="BZ227">
            <v>-0.7434936003301359</v>
          </cell>
          <cell r="CA227">
            <v>-2.6870476484038279E-2</v>
          </cell>
        </row>
        <row r="229">
          <cell r="Q229">
            <v>113.60904076154917</v>
          </cell>
          <cell r="R229">
            <v>-30.31941150553935</v>
          </cell>
          <cell r="S229">
            <v>47.558428417285803</v>
          </cell>
          <cell r="T229">
            <v>-21.640834195668504</v>
          </cell>
          <cell r="U229">
            <v>2.8244104159981589</v>
          </cell>
          <cell r="V229">
            <v>-57.23175594150689</v>
          </cell>
          <cell r="W229">
            <v>31.669447855394424</v>
          </cell>
          <cell r="X229">
            <v>5.1598940377396048</v>
          </cell>
          <cell r="Y229">
            <v>-29.310037596407653</v>
          </cell>
          <cell r="Z229">
            <v>-961.60703299351542</v>
          </cell>
          <cell r="AA229">
            <v>-1106.553734344036</v>
          </cell>
          <cell r="AB229">
            <v>0</v>
          </cell>
          <cell r="AC229">
            <v>0</v>
          </cell>
          <cell r="AD229">
            <v>0</v>
          </cell>
          <cell r="AE229">
            <v>-210.15052579043538</v>
          </cell>
          <cell r="AF229">
            <v>-1151.2558269251037</v>
          </cell>
          <cell r="AG229">
            <v>1039.6382495434837</v>
          </cell>
          <cell r="AH229">
            <v>-61.374269149178588</v>
          </cell>
          <cell r="AI229">
            <v>451.23160132242594</v>
          </cell>
          <cell r="AJ229">
            <v>-273.17633927222118</v>
          </cell>
          <cell r="AK229">
            <v>-309.61031192671675</v>
          </cell>
          <cell r="AP229">
            <v>115.52501771650657</v>
          </cell>
          <cell r="AQ229">
            <v>1038.6154513996673</v>
          </cell>
          <cell r="AR229">
            <v>-926.02920878193447</v>
          </cell>
          <cell r="AS229">
            <v>31.054857643639238</v>
          </cell>
          <cell r="AT229">
            <v>-403.67317290514012</v>
          </cell>
          <cell r="AU229">
            <v>251.53550507655268</v>
          </cell>
          <cell r="AV229">
            <v>312.43472234271491</v>
          </cell>
          <cell r="AY229">
            <v>0</v>
          </cell>
          <cell r="AZ229">
            <v>-93.656842837816058</v>
          </cell>
          <cell r="BA229">
            <v>-123.97625434335541</v>
          </cell>
          <cell r="BB229">
            <v>-76.417825926069611</v>
          </cell>
          <cell r="BC229">
            <v>-98.058660121738114</v>
          </cell>
          <cell r="BD229">
            <v>-95.234249705739956</v>
          </cell>
          <cell r="BE229">
            <v>-152.46600564724685</v>
          </cell>
          <cell r="BH229">
            <v>0</v>
          </cell>
          <cell r="BI229">
            <v>-321.76810317205536</v>
          </cell>
          <cell r="BJ229">
            <v>-383.14237232123395</v>
          </cell>
          <cell r="BK229">
            <v>68.089229001191995</v>
          </cell>
          <cell r="BL229">
            <v>-205.08711027102919</v>
          </cell>
          <cell r="BM229">
            <v>-514.69742219774594</v>
          </cell>
          <cell r="BN229">
            <v>-514.69742219774594</v>
          </cell>
          <cell r="BQ229">
            <v>0</v>
          </cell>
          <cell r="BR229">
            <v>228.11126033423932</v>
          </cell>
          <cell r="BS229">
            <v>259.16611797787857</v>
          </cell>
          <cell r="BT229">
            <v>-144.50705492726161</v>
          </cell>
          <cell r="BU229">
            <v>107.02845014929107</v>
          </cell>
          <cell r="BV229">
            <v>419.46317249200598</v>
          </cell>
          <cell r="BW229">
            <v>362.23141655049909</v>
          </cell>
          <cell r="BZ229">
            <v>-8.7829430695248872E-2</v>
          </cell>
          <cell r="CA229">
            <v>-0.18369294579056852</v>
          </cell>
        </row>
        <row r="231">
          <cell r="Q231">
            <v>-0.768620355215615</v>
          </cell>
          <cell r="R231">
            <v>-0.41810785959837654</v>
          </cell>
          <cell r="S231">
            <v>-0.46972883027521212</v>
          </cell>
          <cell r="T231">
            <v>-4.1697396815101213E-2</v>
          </cell>
          <cell r="U231">
            <v>-0.31151104121765066</v>
          </cell>
          <cell r="V231">
            <v>8.9386064816596972E-2</v>
          </cell>
          <cell r="W231">
            <v>-0.6360534566540853</v>
          </cell>
          <cell r="X231">
            <v>-0.10314422638298967</v>
          </cell>
          <cell r="Y231">
            <v>-0.60868174236197548</v>
          </cell>
          <cell r="Z231">
            <v>-0.62040129814967115</v>
          </cell>
          <cell r="AA231">
            <v>-5.5370138666519448</v>
          </cell>
          <cell r="AB231" t="e">
            <v>#VALUE!</v>
          </cell>
          <cell r="AC231" t="e">
            <v>#VALUE!</v>
          </cell>
          <cell r="AD231">
            <v>-4.6494227548368391E-3</v>
          </cell>
          <cell r="AE231">
            <v>-0.51588762814687394</v>
          </cell>
          <cell r="AF231">
            <v>2.675224129192514E-2</v>
          </cell>
          <cell r="AG231">
            <v>-1.1042489310337926</v>
          </cell>
          <cell r="AH231">
            <v>-0.34329725120013282</v>
          </cell>
          <cell r="AI231">
            <v>-0.50332104792808885</v>
          </cell>
          <cell r="AJ231">
            <v>-9.4923968352481985E-2</v>
          </cell>
          <cell r="AK231">
            <v>-0.33435262116542841</v>
          </cell>
          <cell r="AP231">
            <v>2.1814768791581562E-2</v>
          </cell>
          <cell r="AQ231">
            <v>-6.4558470752363428E-2</v>
          </cell>
          <cell r="AR231">
            <v>0.33562857581817762</v>
          </cell>
          <cell r="AS231">
            <v>-7.4810608398243716E-2</v>
          </cell>
          <cell r="AT231">
            <v>3.3592217652876732E-2</v>
          </cell>
          <cell r="AU231">
            <v>5.3226571537380772E-2</v>
          </cell>
          <cell r="AV231">
            <v>-2.2841579947777746E-2</v>
          </cell>
          <cell r="AY231">
            <v>-0.53187908881573065</v>
          </cell>
          <cell r="AZ231">
            <v>-1.3004994440313449</v>
          </cell>
          <cell r="BA231">
            <v>-1.7186073036297218</v>
          </cell>
          <cell r="BB231">
            <v>-2.188336133904933</v>
          </cell>
          <cell r="BC231">
            <v>-2.2300335307200356</v>
          </cell>
          <cell r="BD231">
            <v>-2.5415445719376861</v>
          </cell>
          <cell r="BE231">
            <v>-2.452158507121089</v>
          </cell>
          <cell r="BH231">
            <v>-0.54108396180460594</v>
          </cell>
          <cell r="BI231">
            <v>-1.5933843178887419</v>
          </cell>
          <cell r="BJ231">
            <v>-1.9366815690888737</v>
          </cell>
          <cell r="BK231">
            <v>-2.4400026170169626</v>
          </cell>
          <cell r="BL231">
            <v>-2.5349265853694445</v>
          </cell>
          <cell r="BM231">
            <v>-2.8692792065348733</v>
          </cell>
          <cell r="BN231">
            <v>-2.8692792065348733</v>
          </cell>
          <cell r="BQ231">
            <v>9.2048729888756248E-3</v>
          </cell>
          <cell r="BR231">
            <v>0.29288487385739564</v>
          </cell>
          <cell r="BS231">
            <v>0.21807426545915179</v>
          </cell>
          <cell r="BT231">
            <v>0.25166648311202827</v>
          </cell>
          <cell r="BU231">
            <v>0.30489305464940863</v>
          </cell>
          <cell r="BV231">
            <v>0.32773463459718721</v>
          </cell>
          <cell r="BW231">
            <v>0.41712069941378438</v>
          </cell>
        </row>
        <row r="232">
          <cell r="Q232">
            <v>-0.76727683139141312</v>
          </cell>
          <cell r="R232">
            <v>-0.41658519926428106</v>
          </cell>
          <cell r="S232">
            <v>-0.46972883027521212</v>
          </cell>
          <cell r="T232">
            <v>0.4345370147370039</v>
          </cell>
          <cell r="U232">
            <v>-0.31145078085921407</v>
          </cell>
          <cell r="V232">
            <v>8.9386064816596972E-2</v>
          </cell>
          <cell r="W232">
            <v>-0.6360534566540853</v>
          </cell>
          <cell r="X232">
            <v>-0.10314422638298967</v>
          </cell>
          <cell r="Y232">
            <v>-0.60868174236197548</v>
          </cell>
          <cell r="Z232">
            <v>-0.62040129814967115</v>
          </cell>
          <cell r="AA232">
            <v>-4.9105498623726955</v>
          </cell>
          <cell r="AB232" t="e">
            <v>#VALUE!</v>
          </cell>
          <cell r="AC232" t="e">
            <v>#VALUE!</v>
          </cell>
          <cell r="AD232">
            <v>-4.2527067350316538E-3</v>
          </cell>
          <cell r="AE232">
            <v>-0.51588762814687394</v>
          </cell>
          <cell r="AF232">
            <v>0.17159343709221769</v>
          </cell>
          <cell r="AG232">
            <v>-1.1042489310337926</v>
          </cell>
          <cell r="AH232">
            <v>-0.34329725120013282</v>
          </cell>
          <cell r="AI232">
            <v>-0.50332104792808885</v>
          </cell>
          <cell r="AJ232">
            <v>-9.4923968352481985E-2</v>
          </cell>
          <cell r="AK232">
            <v>0.14483754279992095</v>
          </cell>
          <cell r="AP232">
            <v>2.1814768791581562E-2</v>
          </cell>
          <cell r="AQ232">
            <v>-6.209651834224629E-2</v>
          </cell>
          <cell r="AR232">
            <v>0.33697209964237951</v>
          </cell>
          <cell r="AS232">
            <v>-7.3287948064148234E-2</v>
          </cell>
          <cell r="AT232">
            <v>3.3592217652876732E-2</v>
          </cell>
          <cell r="AU232">
            <v>0.52946098308948586</v>
          </cell>
          <cell r="AV232">
            <v>0.45628832365913502</v>
          </cell>
          <cell r="AY232">
            <v>-0.38457594060532102</v>
          </cell>
          <cell r="AZ232">
            <v>-1.1518527719967331</v>
          </cell>
          <cell r="BA232">
            <v>-1.568437971261015</v>
          </cell>
          <cell r="BB232">
            <v>-2.0381668015362262</v>
          </cell>
          <cell r="BC232">
            <v>-1.6036297867992235</v>
          </cell>
          <cell r="BD232">
            <v>-1.9150805676584373</v>
          </cell>
          <cell r="BE232">
            <v>-1.8256945028418403</v>
          </cell>
          <cell r="BH232">
            <v>-0.39624276600431341</v>
          </cell>
          <cell r="BI232">
            <v>-1.4485431220884493</v>
          </cell>
          <cell r="BJ232">
            <v>-1.791840373288581</v>
          </cell>
          <cell r="BK232">
            <v>-2.2951614212166698</v>
          </cell>
          <cell r="BL232">
            <v>-2.3900853895691516</v>
          </cell>
          <cell r="BM232">
            <v>-2.2452478467692316</v>
          </cell>
          <cell r="BN232">
            <v>-2.2452478467692316</v>
          </cell>
          <cell r="BQ232">
            <v>1.1666825398992775E-2</v>
          </cell>
          <cell r="BR232">
            <v>0.29669035009171468</v>
          </cell>
          <cell r="BS232">
            <v>0.22340240202756637</v>
          </cell>
          <cell r="BT232">
            <v>0.25699461968044285</v>
          </cell>
          <cell r="BU232">
            <v>0.78645560276992843</v>
          </cell>
          <cell r="BV232">
            <v>0.33016727911079435</v>
          </cell>
          <cell r="BW232">
            <v>0.4195533439273913</v>
          </cell>
        </row>
      </sheetData>
      <sheetData sheetId="1" refreshError="1"/>
      <sheetData sheetId="2" refreshError="1"/>
      <sheetData sheetId="3" refreshError="1"/>
      <sheetData sheetId="4" refreshError="1">
        <row r="7">
          <cell r="C7" t="str">
            <v>Plan Finan.</v>
          </cell>
          <cell r="E7" t="str">
            <v>Plan Financiero</v>
          </cell>
          <cell r="F7" t="str">
            <v>Plan Financiero</v>
          </cell>
          <cell r="G7" t="str">
            <v>Actual</v>
          </cell>
          <cell r="H7" t="str">
            <v>Escenario</v>
          </cell>
          <cell r="I7" t="str">
            <v>Diferencias</v>
          </cell>
          <cell r="J7" t="str">
            <v>Diferencias</v>
          </cell>
          <cell r="K7" t="str">
            <v>Diferencias</v>
          </cell>
          <cell r="L7" t="str">
            <v>Var. %</v>
          </cell>
          <cell r="M7" t="str">
            <v>Var. %</v>
          </cell>
          <cell r="N7" t="str">
            <v>Var.%</v>
          </cell>
          <cell r="O7" t="str">
            <v>% PIB</v>
          </cell>
          <cell r="P7" t="str">
            <v>% PIB</v>
          </cell>
          <cell r="Q7" t="str">
            <v>% PIB</v>
          </cell>
        </row>
        <row r="8">
          <cell r="C8" t="str">
            <v>Dic 20/96</v>
          </cell>
          <cell r="E8" t="str">
            <v>Dic20/96</v>
          </cell>
          <cell r="F8" t="str">
            <v>Mar07/97</v>
          </cell>
          <cell r="G8">
            <v>1997</v>
          </cell>
          <cell r="H8" t="str">
            <v>Alternativo</v>
          </cell>
          <cell r="I8">
            <v>1997</v>
          </cell>
          <cell r="J8">
            <v>1997</v>
          </cell>
          <cell r="K8">
            <v>1996</v>
          </cell>
          <cell r="L8" t="str">
            <v>P.F. Dic20-97/96</v>
          </cell>
          <cell r="M8" t="str">
            <v>P.F. Mar07-97/96</v>
          </cell>
          <cell r="N8" t="str">
            <v>Actual/96</v>
          </cell>
          <cell r="O8" t="str">
            <v>P.F. Dic20/96</v>
          </cell>
          <cell r="P8" t="str">
            <v>P.F. Mar07/97</v>
          </cell>
          <cell r="Q8" t="str">
            <v>Actual</v>
          </cell>
        </row>
        <row r="9">
          <cell r="C9">
            <v>1</v>
          </cell>
          <cell r="E9">
            <v>2</v>
          </cell>
          <cell r="F9">
            <v>2</v>
          </cell>
          <cell r="G9">
            <v>3</v>
          </cell>
          <cell r="I9" t="str">
            <v>5=3-2</v>
          </cell>
          <cell r="J9" t="str">
            <v>4=3-2</v>
          </cell>
          <cell r="K9" t="str">
            <v>3=2-1</v>
          </cell>
          <cell r="L9">
            <v>7</v>
          </cell>
          <cell r="M9">
            <v>5</v>
          </cell>
          <cell r="N9" t="str">
            <v>6=3/1</v>
          </cell>
          <cell r="O9">
            <v>10</v>
          </cell>
          <cell r="P9">
            <v>7</v>
          </cell>
          <cell r="Q9">
            <v>8</v>
          </cell>
        </row>
        <row r="11">
          <cell r="C11">
            <v>12004378.989300001</v>
          </cell>
          <cell r="E11">
            <v>14505177</v>
          </cell>
          <cell r="F11">
            <v>15137015.515000002</v>
          </cell>
          <cell r="G11">
            <v>14482198.458000001</v>
          </cell>
          <cell r="H11">
            <v>14154523.199999999</v>
          </cell>
          <cell r="I11">
            <v>631838.51500000246</v>
          </cell>
          <cell r="J11">
            <v>-654817.05700000189</v>
          </cell>
          <cell r="K11">
            <v>48989.000900000334</v>
          </cell>
          <cell r="L11">
            <v>20.341277324258613</v>
          </cell>
          <cell r="M11">
            <v>25.583285329935677</v>
          </cell>
          <cell r="N11">
            <v>20.150637313776198</v>
          </cell>
          <cell r="O11">
            <v>13.057849175859474</v>
          </cell>
          <cell r="P11">
            <v>13.557960647811004</v>
          </cell>
          <cell r="Q11">
            <v>13.067324726148918</v>
          </cell>
        </row>
        <row r="12">
          <cell r="C12">
            <v>10516955.6931</v>
          </cell>
          <cell r="E12">
            <v>12882399</v>
          </cell>
          <cell r="F12">
            <v>13620616.300000003</v>
          </cell>
          <cell r="G12">
            <v>12862955.058</v>
          </cell>
          <cell r="H12">
            <v>12522745.799999999</v>
          </cell>
          <cell r="I12">
            <v>738217.30000000261</v>
          </cell>
          <cell r="J12">
            <v>-757661.24200000241</v>
          </cell>
          <cell r="K12">
            <v>-13452.759099999443</v>
          </cell>
          <cell r="L12">
            <v>22.648597148475822</v>
          </cell>
          <cell r="M12">
            <v>29.676893371542356</v>
          </cell>
          <cell r="N12">
            <v>22.463478506417299</v>
          </cell>
          <cell r="O12">
            <v>11.596992106007592</v>
          </cell>
          <cell r="P12">
            <v>12.199748332908618</v>
          </cell>
          <cell r="Q12">
            <v>11.606277262959027</v>
          </cell>
        </row>
        <row r="13">
          <cell r="C13">
            <v>10210273.6931</v>
          </cell>
          <cell r="E13">
            <v>12491331</v>
          </cell>
          <cell r="F13">
            <v>13087082.000000002</v>
          </cell>
          <cell r="G13">
            <v>12329420.800000001</v>
          </cell>
          <cell r="H13">
            <v>12135562.799999999</v>
          </cell>
          <cell r="I13">
            <v>595751.00000000186</v>
          </cell>
          <cell r="J13">
            <v>-757661.20000000112</v>
          </cell>
          <cell r="K13">
            <v>-38558.759099999443</v>
          </cell>
          <cell r="L13">
            <v>22.804572100683295</v>
          </cell>
          <cell r="M13">
            <v>28.661509734755629</v>
          </cell>
          <cell r="N13">
            <v>21.212803150702221</v>
          </cell>
          <cell r="O13">
            <v>11.244944905100978</v>
          </cell>
          <cell r="P13">
            <v>11.721870970856022</v>
          </cell>
          <cell r="Q13">
            <v>11.124867936741733</v>
          </cell>
        </row>
        <row r="14">
          <cell r="C14">
            <v>3856038.1</v>
          </cell>
          <cell r="E14">
            <v>4723222</v>
          </cell>
          <cell r="F14">
            <v>4723106.5999999996</v>
          </cell>
          <cell r="G14">
            <v>4723106.5999999996</v>
          </cell>
          <cell r="H14">
            <v>4723106.5999999996</v>
          </cell>
          <cell r="I14">
            <v>-115.40000000037253</v>
          </cell>
          <cell r="J14">
            <v>0</v>
          </cell>
          <cell r="K14">
            <v>0</v>
          </cell>
          <cell r="L14">
            <v>22.488986817842903</v>
          </cell>
          <cell r="M14">
            <v>22.485994108823746</v>
          </cell>
          <cell r="N14">
            <v>22.485994108823746</v>
          </cell>
          <cell r="O14">
            <v>4.2519384975516896</v>
          </cell>
          <cell r="P14">
            <v>4.2304041608968657</v>
          </cell>
          <cell r="Q14">
            <v>4.2616711708106561</v>
          </cell>
        </row>
        <row r="15">
          <cell r="C15">
            <v>3166088.8</v>
          </cell>
          <cell r="E15">
            <v>3955483</v>
          </cell>
          <cell r="F15">
            <v>3955462.2</v>
          </cell>
          <cell r="G15">
            <v>3955462.2</v>
          </cell>
          <cell r="H15">
            <v>3955483</v>
          </cell>
          <cell r="I15">
            <v>-20.799999999813735</v>
          </cell>
          <cell r="J15">
            <v>0</v>
          </cell>
          <cell r="K15">
            <v>0</v>
          </cell>
          <cell r="L15">
            <v>24.93278773482286</v>
          </cell>
          <cell r="M15">
            <v>24.932130772832405</v>
          </cell>
          <cell r="N15">
            <v>24.932130772832405</v>
          </cell>
          <cell r="O15">
            <v>3.5608045618247992</v>
          </cell>
          <cell r="P15">
            <v>3.5428384676200775</v>
          </cell>
          <cell r="Q15">
            <v>3.5690236644185198</v>
          </cell>
        </row>
        <row r="16">
          <cell r="C16">
            <v>1574237.4510000001</v>
          </cell>
          <cell r="E16">
            <v>1918504</v>
          </cell>
          <cell r="F16">
            <v>1889979.5</v>
          </cell>
          <cell r="G16">
            <v>1756987</v>
          </cell>
          <cell r="H16">
            <v>1623994.5</v>
          </cell>
          <cell r="I16">
            <v>-28524.5</v>
          </cell>
          <cell r="J16">
            <v>-132992.5</v>
          </cell>
          <cell r="K16">
            <v>0</v>
          </cell>
          <cell r="L16">
            <v>21.868781534914696</v>
          </cell>
          <cell r="M16">
            <v>20.05682489636056</v>
          </cell>
          <cell r="N16">
            <v>11.60876644650477</v>
          </cell>
          <cell r="O16">
            <v>1.7270755038206773</v>
          </cell>
          <cell r="P16">
            <v>1.6928216570021475</v>
          </cell>
          <cell r="Q16">
            <v>1.5853338659324572</v>
          </cell>
        </row>
        <row r="17">
          <cell r="C17">
            <v>912709.549</v>
          </cell>
          <cell r="E17">
            <v>1086222</v>
          </cell>
          <cell r="F17">
            <v>1083587.8</v>
          </cell>
          <cell r="G17">
            <v>1018663</v>
          </cell>
          <cell r="H17">
            <v>953738.2</v>
          </cell>
          <cell r="I17">
            <v>-2634.1999999999534</v>
          </cell>
          <cell r="J17">
            <v>-64924.800000000047</v>
          </cell>
          <cell r="K17">
            <v>0</v>
          </cell>
          <cell r="L17">
            <v>19.010697454640081</v>
          </cell>
          <cell r="M17">
            <v>18.722084280505324</v>
          </cell>
          <cell r="N17">
            <v>11.608671248820258</v>
          </cell>
          <cell r="O17">
            <v>0.97783867425405624</v>
          </cell>
          <cell r="P17">
            <v>0.97055068327635918</v>
          </cell>
          <cell r="Q17">
            <v>0.91914223148626284</v>
          </cell>
        </row>
        <row r="18">
          <cell r="C18">
            <v>675739.2182</v>
          </cell>
          <cell r="E18">
            <v>790400</v>
          </cell>
          <cell r="F18">
            <v>790433.5</v>
          </cell>
          <cell r="G18">
            <v>797972</v>
          </cell>
          <cell r="H18">
            <v>805510.5</v>
          </cell>
          <cell r="I18">
            <v>33.5</v>
          </cell>
          <cell r="J18">
            <v>7538.5</v>
          </cell>
          <cell r="K18">
            <v>-38558.759099999908</v>
          </cell>
          <cell r="L18">
            <v>24.046490866405158</v>
          </cell>
          <cell r="M18">
            <v>24.051748403657204</v>
          </cell>
          <cell r="N18">
            <v>25.234851226780176</v>
          </cell>
          <cell r="O18">
            <v>0.71153381917361835</v>
          </cell>
          <cell r="P18">
            <v>0.70797749246486907</v>
          </cell>
          <cell r="Q18">
            <v>0.72001217747533397</v>
          </cell>
        </row>
        <row r="19">
          <cell r="C19">
            <v>25460.5749</v>
          </cell>
          <cell r="E19">
            <v>17500</v>
          </cell>
          <cell r="F19">
            <v>17530</v>
          </cell>
          <cell r="G19">
            <v>17530</v>
          </cell>
          <cell r="H19">
            <v>17530</v>
          </cell>
          <cell r="I19">
            <v>30</v>
          </cell>
          <cell r="J19">
            <v>0</v>
          </cell>
          <cell r="K19">
            <v>0</v>
          </cell>
          <cell r="L19">
            <v>-31.266281029655772</v>
          </cell>
          <cell r="M19">
            <v>-31.148451797135181</v>
          </cell>
          <cell r="N19">
            <v>-31.148451797135181</v>
          </cell>
          <cell r="O19">
            <v>1.5753848476136537E-2</v>
          </cell>
          <cell r="P19">
            <v>1.5701315092173034E-2</v>
          </cell>
          <cell r="Q19">
            <v>1.5817363856303987E-2</v>
          </cell>
        </row>
        <row r="20">
          <cell r="C20">
            <v>0</v>
          </cell>
          <cell r="E20">
            <v>0</v>
          </cell>
          <cell r="F20">
            <v>626982.40000000002</v>
          </cell>
          <cell r="G20">
            <v>59700</v>
          </cell>
          <cell r="H20">
            <v>56200</v>
          </cell>
          <cell r="I20">
            <v>626982.40000000002</v>
          </cell>
          <cell r="J20">
            <v>-567282.4</v>
          </cell>
          <cell r="K20">
            <v>0</v>
          </cell>
          <cell r="L20" t="str">
            <v>n.a.</v>
          </cell>
          <cell r="M20" t="str">
            <v>n.a.</v>
          </cell>
          <cell r="N20" t="str">
            <v>n.a.</v>
          </cell>
          <cell r="O20" t="str">
            <v xml:space="preserve"> </v>
          </cell>
          <cell r="P20">
            <v>0.56157719450352939</v>
          </cell>
          <cell r="Q20">
            <v>5.3867462762198969E-2</v>
          </cell>
        </row>
        <row r="21">
          <cell r="C21">
            <v>0</v>
          </cell>
          <cell r="E21">
            <v>0</v>
          </cell>
          <cell r="F21">
            <v>446095.4</v>
          </cell>
          <cell r="G21">
            <v>59700</v>
          </cell>
          <cell r="H21">
            <v>56200</v>
          </cell>
          <cell r="I21">
            <v>446095.4</v>
          </cell>
          <cell r="J21">
            <v>-386395.4</v>
          </cell>
          <cell r="K21">
            <v>0</v>
          </cell>
          <cell r="L21" t="str">
            <v>n.a.</v>
          </cell>
          <cell r="M21" t="str">
            <v>n.a.</v>
          </cell>
          <cell r="N21" t="str">
            <v>n.a.</v>
          </cell>
          <cell r="O21" t="str">
            <v xml:space="preserve"> </v>
          </cell>
          <cell r="P21">
            <v>0.39955986517792169</v>
          </cell>
          <cell r="Q21">
            <v>5.3867462762198969E-2</v>
          </cell>
        </row>
        <row r="22">
          <cell r="F22">
            <v>180887</v>
          </cell>
          <cell r="G22">
            <v>0</v>
          </cell>
          <cell r="H22">
            <v>0</v>
          </cell>
          <cell r="I22">
            <v>180887</v>
          </cell>
          <cell r="J22">
            <v>-180887</v>
          </cell>
          <cell r="K22">
            <v>0</v>
          </cell>
          <cell r="L22" t="str">
            <v>n.a.</v>
          </cell>
          <cell r="M22" t="str">
            <v>n.a.</v>
          </cell>
          <cell r="N22" t="str">
            <v>n.a.</v>
          </cell>
          <cell r="O22" t="str">
            <v xml:space="preserve"> </v>
          </cell>
          <cell r="P22">
            <v>0.16201732932560772</v>
          </cell>
          <cell r="Q22" t="str">
            <v xml:space="preserve"> </v>
          </cell>
        </row>
        <row r="23">
          <cell r="C23">
            <v>0</v>
          </cell>
          <cell r="E23">
            <v>0</v>
          </cell>
          <cell r="F23">
            <v>114412</v>
          </cell>
          <cell r="G23">
            <v>0</v>
          </cell>
          <cell r="H23">
            <v>57206</v>
          </cell>
          <cell r="I23">
            <v>114412</v>
          </cell>
          <cell r="J23">
            <v>-114412</v>
          </cell>
          <cell r="K23">
            <v>0</v>
          </cell>
          <cell r="L23" t="str">
            <v>n.a.</v>
          </cell>
          <cell r="M23" t="str">
            <v>n.a.</v>
          </cell>
          <cell r="N23" t="str">
            <v>n.a.</v>
          </cell>
          <cell r="O23" t="str">
            <v xml:space="preserve"> </v>
          </cell>
          <cell r="P23">
            <v>0.10247683184972625</v>
          </cell>
          <cell r="Q23" t="str">
            <v xml:space="preserve"> </v>
          </cell>
        </row>
        <row r="24">
          <cell r="C24">
            <v>0</v>
          </cell>
          <cell r="E24">
            <v>0</v>
          </cell>
          <cell r="F24">
            <v>16667</v>
          </cell>
          <cell r="G24">
            <v>0</v>
          </cell>
          <cell r="I24">
            <v>16667</v>
          </cell>
          <cell r="J24">
            <v>-16667</v>
          </cell>
          <cell r="K24">
            <v>0</v>
          </cell>
          <cell r="L24" t="str">
            <v>n.a.</v>
          </cell>
          <cell r="M24" t="str">
            <v>n.a.</v>
          </cell>
          <cell r="N24" t="str">
            <v>n.a.</v>
          </cell>
          <cell r="O24" t="str">
            <v xml:space="preserve"> </v>
          </cell>
          <cell r="P24">
            <v>1.4928341051982199E-2</v>
          </cell>
          <cell r="Q24" t="str">
            <v xml:space="preserve"> </v>
          </cell>
        </row>
        <row r="25">
          <cell r="C25">
            <v>0</v>
          </cell>
          <cell r="E25">
            <v>0</v>
          </cell>
          <cell r="F25">
            <v>4366</v>
          </cell>
          <cell r="G25">
            <v>0</v>
          </cell>
          <cell r="I25">
            <v>4366</v>
          </cell>
          <cell r="J25">
            <v>-4366</v>
          </cell>
          <cell r="K25">
            <v>0</v>
          </cell>
          <cell r="L25" t="str">
            <v>n.a.</v>
          </cell>
          <cell r="M25" t="str">
            <v>n.a.</v>
          </cell>
          <cell r="N25" t="str">
            <v>n.a.</v>
          </cell>
          <cell r="O25" t="str">
            <v xml:space="preserve"> </v>
          </cell>
          <cell r="P25">
            <v>3.9105500109770375E-3</v>
          </cell>
          <cell r="Q25" t="str">
            <v xml:space="preserve"> </v>
          </cell>
        </row>
        <row r="26">
          <cell r="C26">
            <v>0</v>
          </cell>
          <cell r="E26">
            <v>0</v>
          </cell>
          <cell r="F26">
            <v>45442</v>
          </cell>
          <cell r="G26">
            <v>0</v>
          </cell>
          <cell r="H26">
            <v>15147.333333333334</v>
          </cell>
          <cell r="I26">
            <v>45442</v>
          </cell>
          <cell r="J26">
            <v>-45442</v>
          </cell>
          <cell r="K26">
            <v>0</v>
          </cell>
          <cell r="L26" t="str">
            <v>n.a.</v>
          </cell>
          <cell r="M26" t="str">
            <v>n.a.</v>
          </cell>
          <cell r="N26" t="str">
            <v>n.a.</v>
          </cell>
          <cell r="O26" t="str">
            <v xml:space="preserve"> </v>
          </cell>
          <cell r="P26">
            <v>4.0701606412922253E-2</v>
          </cell>
          <cell r="Q26" t="str">
            <v xml:space="preserve"> </v>
          </cell>
        </row>
        <row r="27">
          <cell r="C27">
            <v>306682</v>
          </cell>
          <cell r="E27">
            <v>391068</v>
          </cell>
          <cell r="F27">
            <v>533534.30000000005</v>
          </cell>
          <cell r="G27">
            <v>533534.25800000003</v>
          </cell>
          <cell r="H27">
            <v>387183</v>
          </cell>
          <cell r="I27">
            <v>142466.30000000005</v>
          </cell>
          <cell r="J27">
            <v>-4.2000000015832484E-2</v>
          </cell>
          <cell r="K27">
            <v>25105.999999999942</v>
          </cell>
          <cell r="L27">
            <v>17.866830626785802</v>
          </cell>
          <cell r="M27">
            <v>60.805785622144292</v>
          </cell>
          <cell r="N27">
            <v>60.805772963458637</v>
          </cell>
          <cell r="O27">
            <v>0.35204720090661507</v>
          </cell>
          <cell r="P27">
            <v>0.47787736205259412</v>
          </cell>
          <cell r="Q27">
            <v>0.48140932621729415</v>
          </cell>
        </row>
        <row r="28">
          <cell r="C28">
            <v>266943</v>
          </cell>
          <cell r="E28">
            <v>324380</v>
          </cell>
          <cell r="F28">
            <v>334537.59999999998</v>
          </cell>
          <cell r="G28">
            <v>334537.59999999998</v>
          </cell>
          <cell r="H28">
            <v>334537.59999999998</v>
          </cell>
          <cell r="I28">
            <v>10157.599999999977</v>
          </cell>
          <cell r="J28">
            <v>0</v>
          </cell>
          <cell r="K28">
            <v>899.99999999994179</v>
          </cell>
          <cell r="L28">
            <v>21.108261182857156</v>
          </cell>
          <cell r="M28">
            <v>24.900632086707517</v>
          </cell>
          <cell r="N28">
            <v>24.900632086707517</v>
          </cell>
          <cell r="O28">
            <v>0.29201333535366686</v>
          </cell>
          <cell r="P28">
            <v>0.29963949046088678</v>
          </cell>
          <cell r="Q28">
            <v>0.30185413250511578</v>
          </cell>
        </row>
        <row r="29">
          <cell r="F29">
            <v>146351.29999999999</v>
          </cell>
          <cell r="G29">
            <v>146351.258</v>
          </cell>
          <cell r="I29">
            <v>146351.29999999999</v>
          </cell>
          <cell r="J29">
            <v>-4.1999999986728653E-2</v>
          </cell>
          <cell r="M29" t="str">
            <v>n.a.</v>
          </cell>
          <cell r="N29" t="str">
            <v>n.a.</v>
          </cell>
          <cell r="P29">
            <v>0.13108430550194769</v>
          </cell>
          <cell r="Q29">
            <v>0.13205311458150712</v>
          </cell>
        </row>
        <row r="30">
          <cell r="C30">
            <v>39739</v>
          </cell>
          <cell r="E30">
            <v>66688</v>
          </cell>
          <cell r="F30">
            <v>52645.4</v>
          </cell>
          <cell r="G30">
            <v>52645.4</v>
          </cell>
          <cell r="H30">
            <v>52645.4</v>
          </cell>
          <cell r="I30">
            <v>-14042.599999999999</v>
          </cell>
          <cell r="J30">
            <v>0</v>
          </cell>
          <cell r="K30">
            <v>24205.999999999993</v>
          </cell>
          <cell r="L30">
            <v>4.2896238955352439</v>
          </cell>
          <cell r="M30">
            <v>-17.670810853076844</v>
          </cell>
          <cell r="N30">
            <v>-17.670810853076844</v>
          </cell>
          <cell r="O30">
            <v>6.00338655529482E-2</v>
          </cell>
          <cell r="P30">
            <v>4.7153566089759631E-2</v>
          </cell>
          <cell r="Q30">
            <v>4.7502079130671185E-2</v>
          </cell>
        </row>
        <row r="31">
          <cell r="C31">
            <v>391876.6618</v>
          </cell>
          <cell r="E31">
            <v>490242</v>
          </cell>
          <cell r="F31">
            <v>501850.1</v>
          </cell>
          <cell r="G31">
            <v>501850.1</v>
          </cell>
          <cell r="H31">
            <v>501850.1</v>
          </cell>
          <cell r="I31">
            <v>11608.099999999977</v>
          </cell>
          <cell r="J31">
            <v>0</v>
          </cell>
          <cell r="K31">
            <v>13038</v>
          </cell>
          <cell r="L31">
            <v>21.072918876458434</v>
          </cell>
          <cell r="M31">
            <v>23.939720475688642</v>
          </cell>
          <cell r="N31">
            <v>23.939720475688642</v>
          </cell>
          <cell r="O31">
            <v>0.4413256105507502</v>
          </cell>
          <cell r="P31">
            <v>0.4494983770187419</v>
          </cell>
          <cell r="Q31">
            <v>0.45282062937949463</v>
          </cell>
        </row>
        <row r="32">
          <cell r="C32">
            <v>1095546.6343999999</v>
          </cell>
          <cell r="E32">
            <v>1132536</v>
          </cell>
          <cell r="F32">
            <v>1014549.115</v>
          </cell>
          <cell r="G32">
            <v>1117393.3</v>
          </cell>
          <cell r="H32">
            <v>1129927.3</v>
          </cell>
          <cell r="I32">
            <v>-117986.88500000001</v>
          </cell>
          <cell r="J32">
            <v>102844.18500000006</v>
          </cell>
          <cell r="K32">
            <v>49403.760000000242</v>
          </cell>
          <cell r="L32">
            <v>-1.0842735598607045</v>
          </cell>
          <cell r="M32">
            <v>-11.38925145035088</v>
          </cell>
          <cell r="N32">
            <v>-2.4068374083962896</v>
          </cell>
          <cell r="O32">
            <v>1.0195314593011298</v>
          </cell>
          <cell r="P32">
            <v>0.90871393788364496</v>
          </cell>
          <cell r="Q32">
            <v>1.0082268338103959</v>
          </cell>
        </row>
        <row r="33">
          <cell r="C33">
            <v>164252.17440000002</v>
          </cell>
          <cell r="E33">
            <v>69970</v>
          </cell>
          <cell r="F33">
            <v>74082.100000000006</v>
          </cell>
          <cell r="G33">
            <v>110000</v>
          </cell>
          <cell r="H33">
            <v>228517</v>
          </cell>
          <cell r="I33">
            <v>4112.1000000000058</v>
          </cell>
          <cell r="J33">
            <v>35917.899999999994</v>
          </cell>
          <cell r="K33">
            <v>0</v>
          </cell>
          <cell r="L33">
            <v>-57.400868356480039</v>
          </cell>
          <cell r="M33">
            <v>-54.897339855246386</v>
          </cell>
          <cell r="N33">
            <v>-33.029805905571017</v>
          </cell>
          <cell r="O33">
            <v>6.2988387307158486E-2</v>
          </cell>
          <cell r="P33">
            <v>6.6354044197939083E-2</v>
          </cell>
          <cell r="Q33">
            <v>9.9253281471388399E-2</v>
          </cell>
        </row>
        <row r="34">
          <cell r="F34">
            <v>31357</v>
          </cell>
          <cell r="G34">
            <v>31357</v>
          </cell>
          <cell r="I34">
            <v>31357</v>
          </cell>
          <cell r="J34">
            <v>0</v>
          </cell>
          <cell r="M34">
            <v>-36.395537525354968</v>
          </cell>
          <cell r="N34">
            <v>-36.395537525354968</v>
          </cell>
          <cell r="P34">
            <v>2.808591770366628E-2</v>
          </cell>
          <cell r="Q34">
            <v>2.8293501337257509E-2</v>
          </cell>
        </row>
        <row r="35">
          <cell r="F35">
            <v>87160</v>
          </cell>
          <cell r="G35">
            <v>87160</v>
          </cell>
          <cell r="I35">
            <v>87160</v>
          </cell>
          <cell r="J35">
            <v>0</v>
          </cell>
          <cell r="M35">
            <v>3.024786941052704</v>
          </cell>
          <cell r="N35">
            <v>3.024786941052704</v>
          </cell>
          <cell r="P35">
            <v>7.8067691011625889E-2</v>
          </cell>
          <cell r="Q35">
            <v>7.8644691027692837E-2</v>
          </cell>
        </row>
        <row r="36">
          <cell r="C36">
            <v>550049</v>
          </cell>
          <cell r="E36">
            <v>681100</v>
          </cell>
          <cell r="F36">
            <v>598900.01500000001</v>
          </cell>
          <cell r="G36">
            <v>654676.30000000005</v>
          </cell>
          <cell r="H36">
            <v>654676.30000000005</v>
          </cell>
          <cell r="I36">
            <v>-82199.984999999986</v>
          </cell>
          <cell r="J36">
            <v>55776.285000000033</v>
          </cell>
          <cell r="K36">
            <v>0</v>
          </cell>
          <cell r="L36">
            <v>23.825331924973959</v>
          </cell>
          <cell r="M36">
            <v>8.8812114920670648</v>
          </cell>
          <cell r="N36">
            <v>19.021450816200016</v>
          </cell>
          <cell r="O36">
            <v>0.61313978269123415</v>
          </cell>
          <cell r="P36">
            <v>0.53642429231158906</v>
          </cell>
          <cell r="Q36">
            <v>0.59071610069588287</v>
          </cell>
        </row>
        <row r="37">
          <cell r="C37">
            <v>228000</v>
          </cell>
          <cell r="E37">
            <v>278156</v>
          </cell>
          <cell r="F37">
            <v>278156.495</v>
          </cell>
          <cell r="G37">
            <v>207000</v>
          </cell>
          <cell r="H37">
            <v>207000</v>
          </cell>
          <cell r="I37">
            <v>0.49499999999534339</v>
          </cell>
          <cell r="J37">
            <v>-71156.494999999995</v>
          </cell>
          <cell r="K37">
            <v>0</v>
          </cell>
          <cell r="L37">
            <v>21.998245614035095</v>
          </cell>
          <cell r="M37">
            <v>21.998462719298239</v>
          </cell>
          <cell r="N37">
            <v>-9.210526315789469</v>
          </cell>
          <cell r="O37">
            <v>0.2504015700987563</v>
          </cell>
          <cell r="P37">
            <v>0.24913991859266704</v>
          </cell>
          <cell r="Q37">
            <v>0.18677662967797634</v>
          </cell>
        </row>
        <row r="38">
          <cell r="C38">
            <v>60000</v>
          </cell>
          <cell r="E38">
            <v>74400</v>
          </cell>
          <cell r="F38">
            <v>74400</v>
          </cell>
          <cell r="G38">
            <v>40800</v>
          </cell>
          <cell r="H38">
            <v>40800</v>
          </cell>
          <cell r="I38">
            <v>0</v>
          </cell>
          <cell r="J38">
            <v>-33600</v>
          </cell>
          <cell r="K38">
            <v>0</v>
          </cell>
          <cell r="L38">
            <v>24</v>
          </cell>
          <cell r="M38">
            <v>24</v>
          </cell>
          <cell r="N38">
            <v>-31.999999999999996</v>
          </cell>
          <cell r="O38">
            <v>6.6976361521403349E-2</v>
          </cell>
          <cell r="P38">
            <v>6.6638781680414927E-2</v>
          </cell>
          <cell r="Q38">
            <v>3.681394440029679E-2</v>
          </cell>
        </row>
        <row r="39">
          <cell r="C39">
            <v>189300</v>
          </cell>
          <cell r="E39">
            <v>138200</v>
          </cell>
          <cell r="F39">
            <v>100000</v>
          </cell>
          <cell r="G39">
            <v>100000</v>
          </cell>
          <cell r="H39">
            <v>100000</v>
          </cell>
          <cell r="I39">
            <v>-38200</v>
          </cell>
          <cell r="J39">
            <v>0</v>
          </cell>
          <cell r="K39">
            <v>0</v>
          </cell>
          <cell r="L39">
            <v>-26.994189117802424</v>
          </cell>
          <cell r="M39">
            <v>-47.173798203909136</v>
          </cell>
          <cell r="N39">
            <v>-47.173798203909136</v>
          </cell>
          <cell r="O39">
            <v>0.12441039196583255</v>
          </cell>
          <cell r="P39">
            <v>8.9568254946794254E-2</v>
          </cell>
          <cell r="Q39">
            <v>9.0230255883080354E-2</v>
          </cell>
        </row>
        <row r="40">
          <cell r="C40">
            <v>0</v>
          </cell>
          <cell r="E40">
            <v>0</v>
          </cell>
          <cell r="F40">
            <v>56000</v>
          </cell>
          <cell r="G40">
            <v>175303.3</v>
          </cell>
          <cell r="H40">
            <v>175303.3</v>
          </cell>
          <cell r="I40">
            <v>56000</v>
          </cell>
          <cell r="J40">
            <v>119303.29999999999</v>
          </cell>
          <cell r="K40">
            <v>0</v>
          </cell>
          <cell r="L40" t="str">
            <v>n.a.</v>
          </cell>
          <cell r="M40" t="str">
            <v>n.a.</v>
          </cell>
          <cell r="N40" t="str">
            <v>n.a.</v>
          </cell>
          <cell r="O40" t="str">
            <v xml:space="preserve"> </v>
          </cell>
          <cell r="P40">
            <v>5.0158222770204784E-2</v>
          </cell>
          <cell r="Q40">
            <v>0.15817661616148398</v>
          </cell>
        </row>
        <row r="41">
          <cell r="C41">
            <v>72749</v>
          </cell>
          <cell r="E41">
            <v>190344</v>
          </cell>
          <cell r="F41">
            <v>90343.52</v>
          </cell>
          <cell r="G41">
            <v>131573</v>
          </cell>
          <cell r="H41">
            <v>131573</v>
          </cell>
          <cell r="I41">
            <v>-100000.48</v>
          </cell>
          <cell r="J41">
            <v>41229.479999999996</v>
          </cell>
          <cell r="K41">
            <v>0</v>
          </cell>
          <cell r="L41">
            <v>161.6448336059602</v>
          </cell>
          <cell r="M41">
            <v>24.185239659651693</v>
          </cell>
          <cell r="N41">
            <v>80.858843420528117</v>
          </cell>
          <cell r="O41">
            <v>0.17135145910524191</v>
          </cell>
          <cell r="P41">
            <v>8.091911432150807E-2</v>
          </cell>
          <cell r="Q41">
            <v>0.11871865457304533</v>
          </cell>
        </row>
        <row r="42">
          <cell r="C42">
            <v>13400</v>
          </cell>
          <cell r="E42">
            <v>10800</v>
          </cell>
          <cell r="F42">
            <v>10800</v>
          </cell>
          <cell r="G42">
            <v>8100</v>
          </cell>
          <cell r="H42">
            <v>6784</v>
          </cell>
          <cell r="I42">
            <v>0</v>
          </cell>
          <cell r="J42">
            <v>-2700</v>
          </cell>
          <cell r="K42">
            <v>-5300</v>
          </cell>
          <cell r="L42">
            <v>33.333333333333329</v>
          </cell>
          <cell r="M42">
            <v>33.333333333333329</v>
          </cell>
          <cell r="N42">
            <v>0</v>
          </cell>
          <cell r="O42">
            <v>9.7223750595585492E-3</v>
          </cell>
          <cell r="P42">
            <v>9.6733715342537802E-3</v>
          </cell>
          <cell r="Q42">
            <v>7.3086507265295092E-3</v>
          </cell>
        </row>
        <row r="43">
          <cell r="C43">
            <v>186056.06</v>
          </cell>
          <cell r="E43">
            <v>185288</v>
          </cell>
          <cell r="F43">
            <v>186150</v>
          </cell>
          <cell r="G43">
            <v>200000</v>
          </cell>
          <cell r="H43">
            <v>213850</v>
          </cell>
          <cell r="I43">
            <v>862</v>
          </cell>
          <cell r="J43">
            <v>13850</v>
          </cell>
          <cell r="K43">
            <v>3658.1600000000035</v>
          </cell>
          <cell r="L43">
            <v>-2.3330986997179282</v>
          </cell>
          <cell r="M43">
            <v>-1.8787310724520334</v>
          </cell>
          <cell r="N43">
            <v>5.4217232635487278</v>
          </cell>
          <cell r="O43">
            <v>0.16679994722550781</v>
          </cell>
          <cell r="P43">
            <v>0.1667313065834575</v>
          </cell>
          <cell r="Q43">
            <v>0.18046051176616071</v>
          </cell>
        </row>
        <row r="44">
          <cell r="C44">
            <v>98934</v>
          </cell>
          <cell r="E44">
            <v>0</v>
          </cell>
          <cell r="F44">
            <v>0</v>
          </cell>
          <cell r="G44">
            <v>0</v>
          </cell>
          <cell r="H44">
            <v>0</v>
          </cell>
          <cell r="I44">
            <v>0</v>
          </cell>
          <cell r="J44">
            <v>0</v>
          </cell>
          <cell r="K44">
            <v>0</v>
          </cell>
          <cell r="L44">
            <v>-100</v>
          </cell>
          <cell r="M44">
            <v>-100</v>
          </cell>
          <cell r="N44">
            <v>-100</v>
          </cell>
          <cell r="O44" t="str">
            <v xml:space="preserve"> </v>
          </cell>
          <cell r="P44" t="str">
            <v xml:space="preserve"> </v>
          </cell>
          <cell r="Q44" t="str">
            <v xml:space="preserve"> </v>
          </cell>
        </row>
        <row r="45">
          <cell r="C45">
            <v>0</v>
          </cell>
          <cell r="E45">
            <v>97751</v>
          </cell>
          <cell r="F45">
            <v>0</v>
          </cell>
          <cell r="G45">
            <v>0</v>
          </cell>
          <cell r="H45">
            <v>0</v>
          </cell>
          <cell r="I45">
            <v>-97751</v>
          </cell>
          <cell r="J45">
            <v>0</v>
          </cell>
          <cell r="K45">
            <v>0</v>
          </cell>
          <cell r="L45" t="str">
            <v>n.a.</v>
          </cell>
          <cell r="M45" t="str">
            <v>n.a.</v>
          </cell>
          <cell r="N45" t="str">
            <v>n.a.</v>
          </cell>
          <cell r="O45">
            <v>8.7997396708047015E-2</v>
          </cell>
          <cell r="P45" t="str">
            <v xml:space="preserve"> </v>
          </cell>
          <cell r="Q45" t="str">
            <v xml:space="preserve"> </v>
          </cell>
        </row>
        <row r="46">
          <cell r="C46">
            <v>82855.399999999994</v>
          </cell>
          <cell r="E46">
            <v>87627</v>
          </cell>
          <cell r="F46">
            <v>26100</v>
          </cell>
          <cell r="G46">
            <v>26100</v>
          </cell>
          <cell r="H46">
            <v>26100</v>
          </cell>
          <cell r="I46">
            <v>-61527</v>
          </cell>
          <cell r="J46">
            <v>0</v>
          </cell>
          <cell r="K46">
            <v>-82855.399999999994</v>
          </cell>
          <cell r="L46" t="str">
            <v>n.a.</v>
          </cell>
          <cell r="M46" t="str">
            <v>n.a.</v>
          </cell>
          <cell r="N46" t="str">
            <v>n.a.</v>
          </cell>
          <cell r="O46">
            <v>7.8883570309623799E-2</v>
          </cell>
          <cell r="P46">
            <v>2.3377314541113303E-2</v>
          </cell>
          <cell r="Q46">
            <v>2.3550096785483973E-2</v>
          </cell>
        </row>
        <row r="47">
          <cell r="O47" t="str">
            <v xml:space="preserve"> </v>
          </cell>
        </row>
        <row r="48">
          <cell r="C48">
            <v>15622302.947824001</v>
          </cell>
          <cell r="E48">
            <v>19265187</v>
          </cell>
          <cell r="F48">
            <v>19488005.992658094</v>
          </cell>
          <cell r="G48">
            <v>19611801.492658094</v>
          </cell>
          <cell r="H48">
            <v>19611801.492658094</v>
          </cell>
          <cell r="I48">
            <v>222818.99265809357</v>
          </cell>
          <cell r="J48">
            <v>123795.5</v>
          </cell>
          <cell r="K48">
            <v>-220333.14900000207</v>
          </cell>
          <cell r="L48">
            <v>25.082617688751551</v>
          </cell>
          <cell r="M48">
            <v>26.529309219565398</v>
          </cell>
          <cell r="N48">
            <v>27.333073294011601</v>
          </cell>
          <cell r="O48">
            <v>17.34290496356774</v>
          </cell>
          <cell r="P48">
            <v>17.455066891550544</v>
          </cell>
          <cell r="Q48">
            <v>17.69577867010717</v>
          </cell>
        </row>
        <row r="49">
          <cell r="C49">
            <v>13743780.426072501</v>
          </cell>
          <cell r="E49">
            <v>16735229</v>
          </cell>
          <cell r="F49">
            <v>16846398.492658094</v>
          </cell>
          <cell r="G49">
            <v>16846398.492658094</v>
          </cell>
          <cell r="H49">
            <v>16846398.492658094</v>
          </cell>
          <cell r="I49">
            <v>111169.49265809357</v>
          </cell>
          <cell r="J49">
            <v>0</v>
          </cell>
          <cell r="K49">
            <v>-220333.14900000021</v>
          </cell>
          <cell r="L49">
            <v>23.749726361359926</v>
          </cell>
          <cell r="M49">
            <v>24.571776319336024</v>
          </cell>
          <cell r="N49">
            <v>24.571776319336024</v>
          </cell>
          <cell r="O49">
            <v>15.065386393111199</v>
          </cell>
          <cell r="P49">
            <v>15.089025151256907</v>
          </cell>
          <cell r="Q49">
            <v>15.20054846700879</v>
          </cell>
        </row>
        <row r="50">
          <cell r="C50">
            <v>13171377.947824001</v>
          </cell>
          <cell r="E50">
            <v>16266187</v>
          </cell>
          <cell r="F50">
            <v>16613011.973780537</v>
          </cell>
          <cell r="G50">
            <v>16736807.473780537</v>
          </cell>
          <cell r="H50">
            <v>16736807.473780537</v>
          </cell>
          <cell r="I50">
            <v>346824.97378053702</v>
          </cell>
          <cell r="J50">
            <v>123795.5</v>
          </cell>
          <cell r="K50">
            <v>-124154.97700000182</v>
          </cell>
          <cell r="L50">
            <v>24.671641132938404</v>
          </cell>
          <cell r="M50">
            <v>27.329869436050114</v>
          </cell>
          <cell r="N50">
            <v>28.278695866600344</v>
          </cell>
          <cell r="O50">
            <v>14.643145444714397</v>
          </cell>
          <cell r="P50">
            <v>14.879984919017208</v>
          </cell>
          <cell r="Q50">
            <v>15.101664210250695</v>
          </cell>
        </row>
        <row r="51">
          <cell r="C51">
            <v>1878522.5217514997</v>
          </cell>
          <cell r="E51">
            <v>2529958</v>
          </cell>
          <cell r="F51">
            <v>2641607.5</v>
          </cell>
          <cell r="G51">
            <v>2765403</v>
          </cell>
          <cell r="H51">
            <v>2765403</v>
          </cell>
          <cell r="I51">
            <v>111649.5</v>
          </cell>
          <cell r="J51">
            <v>123795.5</v>
          </cell>
          <cell r="K51">
            <v>0</v>
          </cell>
          <cell r="L51">
            <v>34.678076557799997</v>
          </cell>
          <cell r="M51">
            <v>40.621550682129381</v>
          </cell>
          <cell r="N51">
            <v>47.211596772424592</v>
          </cell>
          <cell r="O51">
            <v>2.2775185704565395</v>
          </cell>
          <cell r="P51">
            <v>2.366041740293638</v>
          </cell>
          <cell r="Q51">
            <v>2.4952302030983806</v>
          </cell>
        </row>
        <row r="52">
          <cell r="C52">
            <v>467078.2217514998</v>
          </cell>
          <cell r="E52">
            <v>737054</v>
          </cell>
          <cell r="F52">
            <v>680599.2</v>
          </cell>
          <cell r="G52">
            <v>644103</v>
          </cell>
          <cell r="H52">
            <v>644103</v>
          </cell>
          <cell r="I52">
            <v>-56454.800000000047</v>
          </cell>
          <cell r="J52">
            <v>-36496.199999999953</v>
          </cell>
          <cell r="K52">
            <v>0</v>
          </cell>
          <cell r="L52">
            <v>57.800977582751798</v>
          </cell>
          <cell r="M52">
            <v>45.714179832195214</v>
          </cell>
          <cell r="N52">
            <v>37.900456498415579</v>
          </cell>
          <cell r="O52">
            <v>0.66351068769887656</v>
          </cell>
          <cell r="P52">
            <v>0.60960082662184212</v>
          </cell>
          <cell r="Q52">
            <v>0.58117578505059708</v>
          </cell>
        </row>
        <row r="53">
          <cell r="C53">
            <v>1411444.3</v>
          </cell>
          <cell r="E53">
            <v>1792904</v>
          </cell>
          <cell r="F53">
            <v>1857009.3</v>
          </cell>
          <cell r="G53">
            <v>2121300</v>
          </cell>
          <cell r="H53">
            <v>2121300</v>
          </cell>
          <cell r="I53">
            <v>64105.300000000047</v>
          </cell>
          <cell r="J53">
            <v>264290.69999999995</v>
          </cell>
          <cell r="K53">
            <v>0</v>
          </cell>
          <cell r="L53">
            <v>27.026195791077257</v>
          </cell>
          <cell r="M53">
            <v>31.56801866003498</v>
          </cell>
          <cell r="N53">
            <v>50.292859590704353</v>
          </cell>
          <cell r="O53">
            <v>1.6140078827576632</v>
          </cell>
          <cell r="P53">
            <v>1.6632908242096796</v>
          </cell>
          <cell r="Q53">
            <v>1.9140544180477836</v>
          </cell>
        </row>
        <row r="54">
          <cell r="C54">
            <v>0</v>
          </cell>
          <cell r="E54">
            <v>0</v>
          </cell>
          <cell r="F54">
            <v>103999</v>
          </cell>
          <cell r="G54">
            <v>0</v>
          </cell>
          <cell r="H54">
            <v>0</v>
          </cell>
          <cell r="I54">
            <v>103999</v>
          </cell>
          <cell r="J54">
            <v>-103999</v>
          </cell>
          <cell r="K54">
            <v>0</v>
          </cell>
          <cell r="L54" t="str">
            <v>n.a.</v>
          </cell>
          <cell r="M54" t="str">
            <v>n.a.</v>
          </cell>
          <cell r="N54" t="str">
            <v>n.a.</v>
          </cell>
          <cell r="O54" t="str">
            <v xml:space="preserve"> </v>
          </cell>
          <cell r="P54">
            <v>9.3150089462116559E-2</v>
          </cell>
          <cell r="Q54" t="str">
            <v xml:space="preserve"> </v>
          </cell>
        </row>
        <row r="55">
          <cell r="C55">
            <v>11292855.426072501</v>
          </cell>
          <cell r="E55">
            <v>13736229</v>
          </cell>
          <cell r="F55">
            <v>13971404.473780537</v>
          </cell>
          <cell r="G55">
            <v>13971404.473780537</v>
          </cell>
          <cell r="H55">
            <v>13971404.473780537</v>
          </cell>
          <cell r="I55">
            <v>235175.47378053702</v>
          </cell>
          <cell r="J55">
            <v>0</v>
          </cell>
          <cell r="K55">
            <v>-124154.97699999996</v>
          </cell>
          <cell r="L55">
            <v>22.988606083895103</v>
          </cell>
          <cell r="M55">
            <v>25.094271598454277</v>
          </cell>
          <cell r="N55">
            <v>25.094271598454277</v>
          </cell>
          <cell r="O55">
            <v>12.365626874257858</v>
          </cell>
          <cell r="P55">
            <v>12.513943178723572</v>
          </cell>
          <cell r="Q55">
            <v>12.606434007152314</v>
          </cell>
        </row>
        <row r="56">
          <cell r="C56">
            <v>2551193.1740000001</v>
          </cell>
          <cell r="E56">
            <v>2827000</v>
          </cell>
          <cell r="F56">
            <v>3038900.8549118382</v>
          </cell>
          <cell r="G56">
            <v>3038900.8549118382</v>
          </cell>
          <cell r="H56">
            <v>3038900.8549118382</v>
          </cell>
          <cell r="I56">
            <v>211900.85491183819</v>
          </cell>
          <cell r="J56">
            <v>0</v>
          </cell>
          <cell r="K56">
            <v>0</v>
          </cell>
          <cell r="L56">
            <v>10.810895419869905</v>
          </cell>
          <cell r="M56">
            <v>19.116846418460899</v>
          </cell>
          <cell r="N56">
            <v>19.116846418460899</v>
          </cell>
          <cell r="O56">
            <v>2.5449216938307426</v>
          </cell>
          <cell r="P56">
            <v>2.7218904653077454</v>
          </cell>
          <cell r="Q56">
            <v>2.7420080174200683</v>
          </cell>
        </row>
        <row r="57">
          <cell r="C57">
            <v>7848944.2520725001</v>
          </cell>
          <cell r="E57">
            <v>9638543</v>
          </cell>
          <cell r="F57">
            <v>9660532.5</v>
          </cell>
          <cell r="G57">
            <v>9660532.5</v>
          </cell>
          <cell r="H57">
            <v>9660532.5</v>
          </cell>
          <cell r="I57">
            <v>21989.5</v>
          </cell>
          <cell r="J57">
            <v>0</v>
          </cell>
          <cell r="K57">
            <v>-84519</v>
          </cell>
          <cell r="L57">
            <v>24.137237298114968</v>
          </cell>
          <cell r="M57">
            <v>24.420445639828724</v>
          </cell>
          <cell r="N57">
            <v>24.420445639828724</v>
          </cell>
          <cell r="O57">
            <v>8.6768083401557998</v>
          </cell>
          <cell r="P57">
            <v>8.6527703788179178</v>
          </cell>
          <cell r="Q57">
            <v>8.7167231944181403</v>
          </cell>
        </row>
        <row r="58">
          <cell r="C58">
            <v>2695471</v>
          </cell>
          <cell r="E58">
            <v>3111900</v>
          </cell>
          <cell r="F58">
            <v>3092837</v>
          </cell>
          <cell r="G58">
            <v>3092837</v>
          </cell>
          <cell r="H58">
            <v>3092837</v>
          </cell>
          <cell r="I58">
            <v>-19063</v>
          </cell>
          <cell r="J58">
            <v>0</v>
          </cell>
          <cell r="K58">
            <v>-63471</v>
          </cell>
          <cell r="L58">
            <v>18.233282674772045</v>
          </cell>
          <cell r="M58">
            <v>17.509004559270515</v>
          </cell>
          <cell r="N58">
            <v>17.509004559270515</v>
          </cell>
          <cell r="O58">
            <v>2.8013943470222453</v>
          </cell>
          <cell r="P58">
            <v>2.7702001292487832</v>
          </cell>
          <cell r="Q58">
            <v>2.7906747391465858</v>
          </cell>
        </row>
        <row r="59">
          <cell r="C59">
            <v>1555900</v>
          </cell>
          <cell r="E59">
            <v>1929800</v>
          </cell>
          <cell r="F59">
            <v>1934659</v>
          </cell>
          <cell r="G59">
            <v>1934659</v>
          </cell>
          <cell r="H59">
            <v>1934659</v>
          </cell>
          <cell r="I59">
            <v>4859</v>
          </cell>
          <cell r="J59">
            <v>0</v>
          </cell>
          <cell r="K59">
            <v>-3900</v>
          </cell>
          <cell r="L59">
            <v>24.342783505154642</v>
          </cell>
          <cell r="M59">
            <v>24.655863402061851</v>
          </cell>
          <cell r="N59">
            <v>24.655863402061851</v>
          </cell>
          <cell r="O59">
            <v>1.7372443879570452</v>
          </cell>
          <cell r="P59">
            <v>1.7328403054711006</v>
          </cell>
          <cell r="Q59">
            <v>1.7456477661650438</v>
          </cell>
        </row>
        <row r="60">
          <cell r="C60">
            <v>3597573.2520725001</v>
          </cell>
          <cell r="E60">
            <v>4596843</v>
          </cell>
          <cell r="F60">
            <v>4633036.5</v>
          </cell>
          <cell r="G60">
            <v>4633036.5</v>
          </cell>
          <cell r="H60">
            <v>4633036.5</v>
          </cell>
          <cell r="I60">
            <v>36193.5</v>
          </cell>
          <cell r="J60">
            <v>0</v>
          </cell>
          <cell r="K60">
            <v>-17148</v>
          </cell>
          <cell r="L60">
            <v>28.38818510005634</v>
          </cell>
          <cell r="M60">
            <v>29.399056643291299</v>
          </cell>
          <cell r="N60">
            <v>29.399056643291299</v>
          </cell>
          <cell r="O60">
            <v>4.1381696051765093</v>
          </cell>
          <cell r="P60">
            <v>4.1497299440980333</v>
          </cell>
          <cell r="Q60">
            <v>4.1804006891065102</v>
          </cell>
        </row>
        <row r="61">
          <cell r="C61">
            <v>892718</v>
          </cell>
          <cell r="E61">
            <v>1270686</v>
          </cell>
          <cell r="F61">
            <v>1271971.1188686998</v>
          </cell>
          <cell r="G61">
            <v>1271971.1188686998</v>
          </cell>
          <cell r="H61">
            <v>1271971.1188686998</v>
          </cell>
          <cell r="I61">
            <v>1285.118868699763</v>
          </cell>
          <cell r="J61">
            <v>0</v>
          </cell>
          <cell r="K61">
            <v>-39635.977000000072</v>
          </cell>
          <cell r="L61">
            <v>48.952382741747222</v>
          </cell>
          <cell r="M61">
            <v>49.10302697454685</v>
          </cell>
          <cell r="N61">
            <v>49.10302697454685</v>
          </cell>
          <cell r="O61">
            <v>1.1438968402713163</v>
          </cell>
          <cell r="P61">
            <v>1.1392823345979086</v>
          </cell>
          <cell r="Q61">
            <v>1.1477027953141081</v>
          </cell>
        </row>
        <row r="62">
          <cell r="C62">
            <v>163200</v>
          </cell>
          <cell r="E62">
            <v>489386</v>
          </cell>
          <cell r="F62">
            <v>481600</v>
          </cell>
          <cell r="G62">
            <v>481600</v>
          </cell>
          <cell r="H62">
            <v>481600</v>
          </cell>
          <cell r="I62">
            <v>-7786</v>
          </cell>
          <cell r="J62">
            <v>0</v>
          </cell>
          <cell r="K62">
            <v>-35753</v>
          </cell>
          <cell r="L62">
            <v>283.99177697395783</v>
          </cell>
          <cell r="M62">
            <v>277.88257079413404</v>
          </cell>
          <cell r="N62">
            <v>277.88257079413404</v>
          </cell>
          <cell r="O62">
            <v>0.44055502230528887</v>
          </cell>
          <cell r="P62">
            <v>0.43136071582376118</v>
          </cell>
          <cell r="Q62">
            <v>0.43454891233291498</v>
          </cell>
        </row>
        <row r="63">
          <cell r="C63">
            <v>729518</v>
          </cell>
          <cell r="E63">
            <v>781300</v>
          </cell>
          <cell r="F63">
            <v>790371.11886869965</v>
          </cell>
          <cell r="G63">
            <v>790371.11886869965</v>
          </cell>
          <cell r="H63">
            <v>790371.11886869965</v>
          </cell>
          <cell r="I63">
            <v>9071.1188686996466</v>
          </cell>
          <cell r="J63">
            <v>0</v>
          </cell>
          <cell r="K63">
            <v>-3882.9770000000717</v>
          </cell>
          <cell r="L63">
            <v>7.6712086979848104</v>
          </cell>
          <cell r="M63">
            <v>8.9213025580078273</v>
          </cell>
          <cell r="N63">
            <v>8.9213025580078273</v>
          </cell>
          <cell r="O63">
            <v>0.70334181796602735</v>
          </cell>
          <cell r="P63">
            <v>0.70792161877414728</v>
          </cell>
          <cell r="Q63">
            <v>0.71315388298119287</v>
          </cell>
        </row>
        <row r="64">
          <cell r="C64">
            <v>2450925</v>
          </cell>
          <cell r="E64">
            <v>2999000</v>
          </cell>
          <cell r="F64">
            <v>2874994.0188775575</v>
          </cell>
          <cell r="G64">
            <v>2874994.0188775575</v>
          </cell>
          <cell r="H64">
            <v>2874994.0188775575</v>
          </cell>
          <cell r="I64">
            <v>-124005.98112244252</v>
          </cell>
          <cell r="J64">
            <v>0</v>
          </cell>
          <cell r="K64">
            <v>-96178.172000000719</v>
          </cell>
          <cell r="L64">
            <v>27.359763875218633</v>
          </cell>
          <cell r="M64">
            <v>22.093550979296971</v>
          </cell>
          <cell r="N64">
            <v>22.093550979296971</v>
          </cell>
          <cell r="O64">
            <v>2.6997595188533419</v>
          </cell>
          <cell r="P64">
            <v>2.5750819725333369</v>
          </cell>
          <cell r="Q64">
            <v>2.5941144598564758</v>
          </cell>
        </row>
        <row r="65">
          <cell r="C65">
            <v>2239325</v>
          </cell>
          <cell r="E65">
            <v>2999000</v>
          </cell>
          <cell r="F65">
            <v>2874994.0188775575</v>
          </cell>
          <cell r="G65">
            <v>2874994.0188775575</v>
          </cell>
          <cell r="H65">
            <v>2874994.0188775575</v>
          </cell>
          <cell r="I65">
            <v>-124005.98112244252</v>
          </cell>
          <cell r="J65">
            <v>0</v>
          </cell>
          <cell r="K65">
            <v>76821.827999999281</v>
          </cell>
          <cell r="L65">
            <v>29.48229204405175</v>
          </cell>
          <cell r="M65">
            <v>24.128314497234381</v>
          </cell>
          <cell r="N65">
            <v>24.128314497234381</v>
          </cell>
          <cell r="O65">
            <v>2.6997595188533419</v>
          </cell>
          <cell r="P65">
            <v>2.5750819725333369</v>
          </cell>
          <cell r="Q65">
            <v>2.5941144598564758</v>
          </cell>
        </row>
        <row r="66">
          <cell r="C66">
            <v>211600</v>
          </cell>
          <cell r="E66">
            <v>0</v>
          </cell>
          <cell r="F66">
            <v>0</v>
          </cell>
          <cell r="G66">
            <v>0</v>
          </cell>
          <cell r="H66">
            <v>0</v>
          </cell>
          <cell r="I66">
            <v>0</v>
          </cell>
          <cell r="J66">
            <v>0</v>
          </cell>
          <cell r="K66">
            <v>-173000</v>
          </cell>
          <cell r="L66">
            <v>-100</v>
          </cell>
          <cell r="M66">
            <v>-100</v>
          </cell>
          <cell r="N66">
            <v>-100</v>
          </cell>
          <cell r="O66" t="str">
            <v xml:space="preserve"> </v>
          </cell>
          <cell r="P66" t="str">
            <v xml:space="preserve"> </v>
          </cell>
          <cell r="Q66" t="str">
            <v xml:space="preserve"> </v>
          </cell>
        </row>
        <row r="67">
          <cell r="C67">
            <v>38600</v>
          </cell>
          <cell r="E67">
            <v>0</v>
          </cell>
          <cell r="F67">
            <v>0</v>
          </cell>
          <cell r="G67">
            <v>0</v>
          </cell>
          <cell r="H67">
            <v>0</v>
          </cell>
          <cell r="I67">
            <v>0</v>
          </cell>
          <cell r="J67">
            <v>0</v>
          </cell>
          <cell r="K67">
            <v>0</v>
          </cell>
          <cell r="L67">
            <v>-100</v>
          </cell>
          <cell r="M67">
            <v>-100</v>
          </cell>
          <cell r="N67">
            <v>-100</v>
          </cell>
          <cell r="O67" t="str">
            <v xml:space="preserve"> </v>
          </cell>
          <cell r="P67" t="str">
            <v xml:space="preserve"> </v>
          </cell>
          <cell r="Q67" t="str">
            <v xml:space="preserve"> </v>
          </cell>
        </row>
        <row r="68">
          <cell r="F68">
            <v>0</v>
          </cell>
          <cell r="G68">
            <v>0</v>
          </cell>
        </row>
        <row r="69">
          <cell r="O69" t="str">
            <v xml:space="preserve"> </v>
          </cell>
        </row>
        <row r="70">
          <cell r="O70" t="str">
            <v xml:space="preserve"> </v>
          </cell>
        </row>
        <row r="71">
          <cell r="C71">
            <v>-3617923.9585239999</v>
          </cell>
          <cell r="E71">
            <v>-4760010</v>
          </cell>
          <cell r="F71">
            <v>-4350990.4776580911</v>
          </cell>
          <cell r="G71">
            <v>-5129603.034658093</v>
          </cell>
          <cell r="H71">
            <v>-5457278.2926580943</v>
          </cell>
          <cell r="I71">
            <v>409019.52234190889</v>
          </cell>
          <cell r="J71">
            <v>-778612.55700000189</v>
          </cell>
          <cell r="K71">
            <v>269322.14990000241</v>
          </cell>
          <cell r="L71">
            <v>42.149179628974039</v>
          </cell>
          <cell r="M71">
            <v>29.934543619146936</v>
          </cell>
          <cell r="N71">
            <v>53.18641414596685</v>
          </cell>
          <cell r="O71">
            <v>-4.2850557877082673</v>
          </cell>
          <cell r="P71">
            <v>-3.8971062437395405</v>
          </cell>
          <cell r="Q71">
            <v>-4.6284539439582524</v>
          </cell>
        </row>
        <row r="72">
          <cell r="O72" t="str">
            <v xml:space="preserve"> </v>
          </cell>
        </row>
        <row r="73">
          <cell r="C73">
            <v>345136</v>
          </cell>
          <cell r="E73">
            <v>248238</v>
          </cell>
          <cell r="F73">
            <v>166104.1</v>
          </cell>
          <cell r="G73">
            <v>218886</v>
          </cell>
          <cell r="H73">
            <v>224802</v>
          </cell>
          <cell r="I73">
            <v>-82133.899999999994</v>
          </cell>
          <cell r="J73">
            <v>52781.899999999994</v>
          </cell>
          <cell r="K73">
            <v>173750</v>
          </cell>
          <cell r="L73">
            <v>-52.159433864085749</v>
          </cell>
          <cell r="M73">
            <v>-67.988324988533137</v>
          </cell>
          <cell r="N73">
            <v>-57.816167713139308</v>
          </cell>
          <cell r="O73">
            <v>0.22346879074395329</v>
          </cell>
          <cell r="P73">
            <v>0.1487765437650781</v>
          </cell>
          <cell r="Q73">
            <v>0.19750139789223928</v>
          </cell>
        </row>
        <row r="74">
          <cell r="O74" t="str">
            <v xml:space="preserve"> </v>
          </cell>
        </row>
        <row r="75">
          <cell r="C75">
            <v>-3963059.9585239999</v>
          </cell>
          <cell r="E75">
            <v>-5008248</v>
          </cell>
          <cell r="F75">
            <v>-4517094.5776580907</v>
          </cell>
          <cell r="G75">
            <v>-5348489.034658093</v>
          </cell>
          <cell r="H75">
            <v>-5682080.2926580943</v>
          </cell>
          <cell r="I75">
            <v>491153.42234190926</v>
          </cell>
          <cell r="J75">
            <v>-831394.45700000226</v>
          </cell>
          <cell r="K75">
            <v>95572.149900002405</v>
          </cell>
          <cell r="L75">
            <v>29.496154812233797</v>
          </cell>
          <cell r="M75">
            <v>16.796608061324836</v>
          </cell>
          <cell r="N75">
            <v>38.293623647155513</v>
          </cell>
          <cell r="O75">
            <v>-4.5085245784522208</v>
          </cell>
          <cell r="P75">
            <v>-4.0458827875046186</v>
          </cell>
          <cell r="Q75">
            <v>-4.8259553418504915</v>
          </cell>
        </row>
        <row r="76">
          <cell r="O76" t="str">
            <v xml:space="preserve"> </v>
          </cell>
        </row>
        <row r="77">
          <cell r="C77">
            <v>3963059.9585239999</v>
          </cell>
          <cell r="E77">
            <v>5008248</v>
          </cell>
          <cell r="F77">
            <v>4517094.5776580907</v>
          </cell>
          <cell r="G77">
            <v>5348489.034658093</v>
          </cell>
          <cell r="H77">
            <v>5682080.2926580943</v>
          </cell>
          <cell r="I77">
            <v>-491153.42234190926</v>
          </cell>
          <cell r="J77">
            <v>831394.45700000226</v>
          </cell>
          <cell r="K77">
            <v>-95572.149900002405</v>
          </cell>
          <cell r="L77">
            <v>29.496154812233797</v>
          </cell>
          <cell r="M77">
            <v>16.796608061324836</v>
          </cell>
          <cell r="N77">
            <v>38.293623647155513</v>
          </cell>
          <cell r="O77">
            <v>4.5085245784522208</v>
          </cell>
          <cell r="P77">
            <v>4.0458827875046186</v>
          </cell>
          <cell r="Q77">
            <v>4.8259553418504915</v>
          </cell>
        </row>
        <row r="78">
          <cell r="C78">
            <v>1021745.5780114998</v>
          </cell>
          <cell r="E78">
            <v>1980464</v>
          </cell>
          <cell r="F78">
            <v>976469.39999999991</v>
          </cell>
          <cell r="G78">
            <v>991376</v>
          </cell>
          <cell r="H78">
            <v>991376</v>
          </cell>
          <cell r="I78">
            <v>-1003994.6000000001</v>
          </cell>
          <cell r="J78">
            <v>14906.600000000093</v>
          </cell>
          <cell r="K78">
            <v>58068.607800000231</v>
          </cell>
          <cell r="L78">
            <v>83.407851649183982</v>
          </cell>
          <cell r="M78">
            <v>-9.5706082740369514</v>
          </cell>
          <cell r="N78">
            <v>-8.1901300217719566</v>
          </cell>
          <cell r="O78">
            <v>1.7828531296253298</v>
          </cell>
          <cell r="P78">
            <v>0.87460660166943216</v>
          </cell>
          <cell r="Q78">
            <v>0.89452110156344677</v>
          </cell>
        </row>
        <row r="79">
          <cell r="C79">
            <v>1761893.7411999998</v>
          </cell>
          <cell r="E79">
            <v>2790693</v>
          </cell>
          <cell r="F79">
            <v>1765927.7</v>
          </cell>
          <cell r="G79">
            <v>1760602</v>
          </cell>
          <cell r="H79">
            <v>1760602</v>
          </cell>
          <cell r="I79">
            <v>-1024765.3</v>
          </cell>
          <cell r="J79">
            <v>-5325.6999999999534</v>
          </cell>
          <cell r="K79">
            <v>58068.607800000114</v>
          </cell>
          <cell r="L79">
            <v>53.337952377607124</v>
          </cell>
          <cell r="M79">
            <v>-2.9689981789837505</v>
          </cell>
          <cell r="N79">
            <v>-3.2616251117841055</v>
          </cell>
          <cell r="O79">
            <v>2.5122374094522804</v>
          </cell>
          <cell r="P79">
            <v>1.5817106245120602</v>
          </cell>
          <cell r="Q79">
            <v>1.5885956896826303</v>
          </cell>
        </row>
        <row r="80">
          <cell r="C80">
            <v>317067.2928</v>
          </cell>
          <cell r="E80">
            <v>887100</v>
          </cell>
          <cell r="F80">
            <v>693415.7</v>
          </cell>
          <cell r="G80">
            <v>688090</v>
          </cell>
          <cell r="H80">
            <v>688090</v>
          </cell>
          <cell r="I80">
            <v>-193684.30000000005</v>
          </cell>
          <cell r="J80">
            <v>-5325.6999999999534</v>
          </cell>
          <cell r="K80">
            <v>58068.60779999994</v>
          </cell>
          <cell r="L80">
            <v>136.47430133483743</v>
          </cell>
          <cell r="M80">
            <v>84.843865620682223</v>
          </cell>
          <cell r="N80">
            <v>83.424193445483354</v>
          </cell>
          <cell r="O80">
            <v>0.79858508475318424</v>
          </cell>
          <cell r="P80">
            <v>0.62108034201709805</v>
          </cell>
          <cell r="Q80">
            <v>0.62086536770588763</v>
          </cell>
        </row>
        <row r="81">
          <cell r="C81">
            <v>1444826.4483999999</v>
          </cell>
          <cell r="E81">
            <v>1903593</v>
          </cell>
          <cell r="F81">
            <v>1072512</v>
          </cell>
          <cell r="G81">
            <v>1072512</v>
          </cell>
          <cell r="H81">
            <v>1072512</v>
          </cell>
          <cell r="I81">
            <v>-831081</v>
          </cell>
          <cell r="J81">
            <v>0</v>
          </cell>
          <cell r="K81">
            <v>0</v>
          </cell>
          <cell r="L81">
            <v>31.752363898656345</v>
          </cell>
          <cell r="M81">
            <v>-25.768800731208973</v>
          </cell>
          <cell r="N81">
            <v>-25.768800731208973</v>
          </cell>
          <cell r="O81">
            <v>1.713652324699096</v>
          </cell>
          <cell r="P81">
            <v>0.96063028249496218</v>
          </cell>
          <cell r="Q81">
            <v>0.9677303219767428</v>
          </cell>
        </row>
        <row r="82">
          <cell r="C82">
            <v>740148.16318849998</v>
          </cell>
          <cell r="E82">
            <v>810229</v>
          </cell>
          <cell r="F82">
            <v>789458.3</v>
          </cell>
          <cell r="G82">
            <v>769226</v>
          </cell>
          <cell r="H82">
            <v>769226</v>
          </cell>
          <cell r="I82">
            <v>-20770.699999999953</v>
          </cell>
          <cell r="J82">
            <v>-20232.300000000047</v>
          </cell>
          <cell r="K82">
            <v>0</v>
          </cell>
          <cell r="L82">
            <v>9.4684875673537228</v>
          </cell>
          <cell r="M82">
            <v>6.662198092754279</v>
          </cell>
          <cell r="N82">
            <v>3.9286508104316553</v>
          </cell>
          <cell r="O82">
            <v>0.72938427982695031</v>
          </cell>
          <cell r="P82">
            <v>0.70710402284262797</v>
          </cell>
          <cell r="Q82">
            <v>0.69407458811918377</v>
          </cell>
        </row>
        <row r="83">
          <cell r="O83" t="str">
            <v xml:space="preserve"> </v>
          </cell>
        </row>
        <row r="84">
          <cell r="C84">
            <v>1790818.7000000002</v>
          </cell>
          <cell r="E84">
            <v>1983921</v>
          </cell>
          <cell r="F84">
            <v>2817881.6148455972</v>
          </cell>
          <cell r="G84">
            <v>3517000</v>
          </cell>
          <cell r="H84">
            <v>3517000</v>
          </cell>
          <cell r="I84">
            <v>833960.61484559719</v>
          </cell>
          <cell r="J84">
            <v>699118.38515440281</v>
          </cell>
          <cell r="K84">
            <v>149421</v>
          </cell>
          <cell r="L84">
            <v>2.2513352345073567</v>
          </cell>
          <cell r="M84">
            <v>45.233685036214702</v>
          </cell>
          <cell r="N84">
            <v>81.266263132333577</v>
          </cell>
          <cell r="O84">
            <v>1.7859651898643014</v>
          </cell>
          <cell r="P84">
            <v>2.5239273888837475</v>
          </cell>
          <cell r="Q84">
            <v>3.1733980994079363</v>
          </cell>
        </row>
        <row r="85">
          <cell r="C85">
            <v>3874041.1</v>
          </cell>
          <cell r="E85">
            <v>5409063</v>
          </cell>
          <cell r="F85">
            <v>6256646.1322326977</v>
          </cell>
          <cell r="G85">
            <v>7003000</v>
          </cell>
          <cell r="H85">
            <v>7003000</v>
          </cell>
          <cell r="I85">
            <v>847583.13223269768</v>
          </cell>
          <cell r="J85">
            <v>746353.86776730232</v>
          </cell>
          <cell r="K85">
            <v>149421</v>
          </cell>
          <cell r="L85">
            <v>34.438025401059448</v>
          </cell>
          <cell r="M85">
            <v>55.504040468846405</v>
          </cell>
          <cell r="N85">
            <v>74.054081433996856</v>
          </cell>
          <cell r="O85">
            <v>4.8693462228500879</v>
          </cell>
          <cell r="P85">
            <v>5.6039687588369258</v>
          </cell>
          <cell r="Q85">
            <v>6.3188248194921179</v>
          </cell>
        </row>
        <row r="86">
          <cell r="C86">
            <v>3874041.1</v>
          </cell>
          <cell r="E86">
            <v>4783063</v>
          </cell>
          <cell r="F86">
            <v>5277646.1322326977</v>
          </cell>
          <cell r="G86">
            <v>6044000</v>
          </cell>
          <cell r="H86">
            <v>6044000</v>
          </cell>
          <cell r="I86">
            <v>494583.13223269768</v>
          </cell>
          <cell r="J86">
            <v>766353.86776730232</v>
          </cell>
          <cell r="K86">
            <v>40</v>
          </cell>
          <cell r="L86">
            <v>23.463161367478857</v>
          </cell>
          <cell r="M86">
            <v>36.229624419393211</v>
          </cell>
          <cell r="N86">
            <v>56.011189337259857</v>
          </cell>
          <cell r="O86">
            <v>4.3058085573608604</v>
          </cell>
          <cell r="P86">
            <v>4.7270955429078096</v>
          </cell>
          <cell r="Q86">
            <v>5.4535166655733764</v>
          </cell>
        </row>
        <row r="87">
          <cell r="F87">
            <v>1700000</v>
          </cell>
          <cell r="G87">
            <v>2200000</v>
          </cell>
          <cell r="J87">
            <v>500000</v>
          </cell>
          <cell r="K87">
            <v>591100</v>
          </cell>
          <cell r="L87">
            <v>-100</v>
          </cell>
          <cell r="M87">
            <v>187.59939096599561</v>
          </cell>
          <cell r="N87">
            <v>272.18744713246485</v>
          </cell>
          <cell r="O87" t="str">
            <v xml:space="preserve"> </v>
          </cell>
          <cell r="P87">
            <v>1.5226603340955025</v>
          </cell>
          <cell r="Q87">
            <v>1.985065629427768</v>
          </cell>
        </row>
        <row r="88">
          <cell r="F88">
            <v>1800246.1</v>
          </cell>
          <cell r="G88">
            <v>2067000</v>
          </cell>
          <cell r="J88">
            <v>266753.89999999991</v>
          </cell>
          <cell r="K88">
            <v>1636500</v>
          </cell>
          <cell r="L88">
            <v>-100</v>
          </cell>
          <cell r="M88">
            <v>10.005872288420425</v>
          </cell>
          <cell r="N88">
            <v>26.306141154903749</v>
          </cell>
          <cell r="O88" t="str">
            <v xml:space="preserve"> </v>
          </cell>
          <cell r="P88">
            <v>1.6124490165177208</v>
          </cell>
          <cell r="Q88">
            <v>1.865059389103271</v>
          </cell>
        </row>
        <row r="89">
          <cell r="F89">
            <v>1777400</v>
          </cell>
          <cell r="G89">
            <v>1777400</v>
          </cell>
          <cell r="J89">
            <v>0</v>
          </cell>
          <cell r="K89">
            <v>1497100</v>
          </cell>
          <cell r="L89">
            <v>-100</v>
          </cell>
          <cell r="M89">
            <v>18.722864204127987</v>
          </cell>
          <cell r="N89">
            <v>18.722864204127987</v>
          </cell>
          <cell r="O89" t="str">
            <v xml:space="preserve"> </v>
          </cell>
          <cell r="P89">
            <v>1.5919861634243211</v>
          </cell>
          <cell r="Q89">
            <v>1.6037525680658704</v>
          </cell>
        </row>
        <row r="90">
          <cell r="C90">
            <v>0</v>
          </cell>
          <cell r="E90">
            <v>200000</v>
          </cell>
          <cell r="F90">
            <v>400000</v>
          </cell>
          <cell r="G90">
            <v>400000</v>
          </cell>
          <cell r="H90">
            <v>400000</v>
          </cell>
          <cell r="I90">
            <v>200000</v>
          </cell>
          <cell r="J90">
            <v>0</v>
          </cell>
          <cell r="K90">
            <v>0</v>
          </cell>
          <cell r="L90" t="str">
            <v>n.a.</v>
          </cell>
          <cell r="M90" t="str">
            <v>n.a.</v>
          </cell>
          <cell r="N90" t="str">
            <v>n.a.</v>
          </cell>
          <cell r="O90">
            <v>0.18004398258441759</v>
          </cell>
          <cell r="P90">
            <v>0.35827301978717702</v>
          </cell>
          <cell r="Q90">
            <v>0.36092102353232142</v>
          </cell>
        </row>
        <row r="91">
          <cell r="C91">
            <v>0</v>
          </cell>
          <cell r="E91">
            <v>0</v>
          </cell>
          <cell r="F91">
            <v>0</v>
          </cell>
          <cell r="G91">
            <v>0</v>
          </cell>
          <cell r="H91">
            <v>0</v>
          </cell>
          <cell r="I91">
            <v>0</v>
          </cell>
          <cell r="J91">
            <v>0</v>
          </cell>
          <cell r="K91">
            <v>0</v>
          </cell>
          <cell r="L91" t="str">
            <v>n.a.</v>
          </cell>
          <cell r="M91" t="str">
            <v>n.a.</v>
          </cell>
          <cell r="N91" t="str">
            <v>n.a.</v>
          </cell>
          <cell r="O91" t="str">
            <v xml:space="preserve"> </v>
          </cell>
          <cell r="P91" t="str">
            <v xml:space="preserve"> </v>
          </cell>
          <cell r="Q91" t="str">
            <v xml:space="preserve"> </v>
          </cell>
        </row>
        <row r="92">
          <cell r="C92">
            <v>0</v>
          </cell>
          <cell r="E92">
            <v>426000</v>
          </cell>
          <cell r="F92">
            <v>426000</v>
          </cell>
          <cell r="G92">
            <v>426000</v>
          </cell>
          <cell r="H92">
            <v>426000</v>
          </cell>
          <cell r="I92">
            <v>0</v>
          </cell>
          <cell r="J92">
            <v>0</v>
          </cell>
          <cell r="K92">
            <v>0</v>
          </cell>
          <cell r="L92" t="str">
            <v>n.a.</v>
          </cell>
          <cell r="M92" t="str">
            <v>n.a.</v>
          </cell>
          <cell r="N92" t="str">
            <v>n.a.</v>
          </cell>
          <cell r="O92">
            <v>0.38349368290480945</v>
          </cell>
          <cell r="P92">
            <v>0.38156076607334355</v>
          </cell>
          <cell r="Q92">
            <v>0.38438089006192233</v>
          </cell>
        </row>
        <row r="93">
          <cell r="C93">
            <v>0</v>
          </cell>
          <cell r="F93">
            <v>153000</v>
          </cell>
          <cell r="G93">
            <v>133000</v>
          </cell>
          <cell r="H93">
            <v>133000</v>
          </cell>
          <cell r="I93">
            <v>153000</v>
          </cell>
          <cell r="J93">
            <v>-20000</v>
          </cell>
          <cell r="K93">
            <v>149381</v>
          </cell>
          <cell r="L93">
            <v>-100</v>
          </cell>
          <cell r="M93">
            <v>2.422664194241575</v>
          </cell>
          <cell r="N93">
            <v>-10.96591936056125</v>
          </cell>
          <cell r="O93" t="str">
            <v xml:space="preserve"> </v>
          </cell>
          <cell r="P93">
            <v>0.13703943006859523</v>
          </cell>
          <cell r="Q93">
            <v>0.12000624032449686</v>
          </cell>
        </row>
        <row r="94">
          <cell r="C94">
            <v>2083222.4</v>
          </cell>
          <cell r="E94">
            <v>3425142</v>
          </cell>
          <cell r="F94">
            <v>3438764.5173871005</v>
          </cell>
          <cell r="G94">
            <v>3486000</v>
          </cell>
          <cell r="H94">
            <v>3486000</v>
          </cell>
          <cell r="I94">
            <v>13622.517387100495</v>
          </cell>
          <cell r="J94">
            <v>47235.482612899505</v>
          </cell>
          <cell r="K94">
            <v>0</v>
          </cell>
          <cell r="L94">
            <v>64.415570800313986</v>
          </cell>
          <cell r="M94">
            <v>65.069486454595562</v>
          </cell>
          <cell r="N94">
            <v>67.33691035580263</v>
          </cell>
          <cell r="O94">
            <v>3.0833810329857858</v>
          </cell>
          <cell r="P94">
            <v>3.0800413699531775</v>
          </cell>
          <cell r="Q94">
            <v>3.1454267200841808</v>
          </cell>
        </row>
        <row r="95">
          <cell r="O95" t="str">
            <v xml:space="preserve"> </v>
          </cell>
        </row>
        <row r="96">
          <cell r="C96">
            <v>746775.77</v>
          </cell>
          <cell r="E96">
            <v>470766</v>
          </cell>
          <cell r="F96">
            <v>476805.6</v>
          </cell>
          <cell r="G96">
            <v>699505.6</v>
          </cell>
          <cell r="H96">
            <v>699505.6</v>
          </cell>
          <cell r="I96">
            <v>6039.5999999999767</v>
          </cell>
          <cell r="J96">
            <v>222700</v>
          </cell>
          <cell r="K96">
            <v>0</v>
          </cell>
          <cell r="L96">
            <v>-36.960193553146482</v>
          </cell>
          <cell r="M96">
            <v>-36.151436729126871</v>
          </cell>
          <cell r="N96">
            <v>-6.3299014107005664</v>
          </cell>
          <cell r="O96">
            <v>0.42379292752667957</v>
          </cell>
          <cell r="P96">
            <v>0.42706645540859206</v>
          </cell>
          <cell r="Q96">
            <v>0.6311656927964765</v>
          </cell>
        </row>
        <row r="97">
          <cell r="C97">
            <v>272620.87</v>
          </cell>
          <cell r="E97">
            <v>0</v>
          </cell>
          <cell r="F97">
            <v>0</v>
          </cell>
          <cell r="G97">
            <v>0</v>
          </cell>
          <cell r="H97">
            <v>0</v>
          </cell>
          <cell r="I97">
            <v>0</v>
          </cell>
          <cell r="J97">
            <v>0</v>
          </cell>
          <cell r="K97">
            <v>0</v>
          </cell>
          <cell r="L97">
            <v>-100</v>
          </cell>
          <cell r="M97">
            <v>-100</v>
          </cell>
          <cell r="N97">
            <v>-100</v>
          </cell>
          <cell r="O97" t="str">
            <v xml:space="preserve"> </v>
          </cell>
          <cell r="P97" t="str">
            <v xml:space="preserve"> </v>
          </cell>
          <cell r="Q97" t="str">
            <v xml:space="preserve"> </v>
          </cell>
        </row>
        <row r="98">
          <cell r="C98">
            <v>302763.90000000002</v>
          </cell>
          <cell r="E98">
            <v>0</v>
          </cell>
          <cell r="F98">
            <v>0</v>
          </cell>
          <cell r="G98">
            <v>0</v>
          </cell>
          <cell r="H98">
            <v>0</v>
          </cell>
          <cell r="I98">
            <v>0</v>
          </cell>
          <cell r="J98">
            <v>0</v>
          </cell>
          <cell r="K98">
            <v>0</v>
          </cell>
          <cell r="L98">
            <v>-100</v>
          </cell>
          <cell r="M98">
            <v>-100</v>
          </cell>
          <cell r="N98">
            <v>-100</v>
          </cell>
          <cell r="O98" t="str">
            <v xml:space="preserve"> </v>
          </cell>
          <cell r="P98" t="str">
            <v xml:space="preserve"> </v>
          </cell>
          <cell r="Q98" t="str">
            <v xml:space="preserve"> </v>
          </cell>
        </row>
        <row r="99">
          <cell r="C99">
            <v>16117</v>
          </cell>
          <cell r="E99">
            <v>0</v>
          </cell>
          <cell r="F99">
            <v>0</v>
          </cell>
          <cell r="G99">
            <v>0</v>
          </cell>
          <cell r="H99">
            <v>0</v>
          </cell>
          <cell r="I99">
            <v>0</v>
          </cell>
          <cell r="J99">
            <v>0</v>
          </cell>
          <cell r="K99">
            <v>0</v>
          </cell>
          <cell r="L99">
            <v>-100</v>
          </cell>
          <cell r="M99">
            <v>-100</v>
          </cell>
          <cell r="N99">
            <v>-100</v>
          </cell>
          <cell r="O99" t="str">
            <v xml:space="preserve"> </v>
          </cell>
          <cell r="P99" t="str">
            <v xml:space="preserve"> </v>
          </cell>
          <cell r="Q99" t="str">
            <v xml:space="preserve"> </v>
          </cell>
        </row>
        <row r="100">
          <cell r="C100">
            <v>17507</v>
          </cell>
          <cell r="E100">
            <v>0</v>
          </cell>
          <cell r="F100">
            <v>0</v>
          </cell>
          <cell r="G100">
            <v>0</v>
          </cell>
          <cell r="H100">
            <v>0</v>
          </cell>
          <cell r="I100">
            <v>0</v>
          </cell>
          <cell r="J100">
            <v>0</v>
          </cell>
          <cell r="K100">
            <v>0</v>
          </cell>
          <cell r="L100">
            <v>-100</v>
          </cell>
          <cell r="M100">
            <v>-100</v>
          </cell>
          <cell r="N100">
            <v>-100</v>
          </cell>
          <cell r="O100" t="str">
            <v xml:space="preserve"> </v>
          </cell>
          <cell r="P100" t="str">
            <v xml:space="preserve"> </v>
          </cell>
          <cell r="Q100" t="str">
            <v xml:space="preserve"> </v>
          </cell>
        </row>
        <row r="101">
          <cell r="C101">
            <v>4167</v>
          </cell>
          <cell r="E101">
            <v>158439</v>
          </cell>
          <cell r="F101">
            <v>164505.60000000001</v>
          </cell>
          <cell r="G101">
            <v>164505.60000000001</v>
          </cell>
          <cell r="H101">
            <v>164505.60000000001</v>
          </cell>
          <cell r="I101">
            <v>6066.6000000000058</v>
          </cell>
          <cell r="J101">
            <v>0</v>
          </cell>
          <cell r="K101">
            <v>0</v>
          </cell>
          <cell r="L101">
            <v>3702.2318214542834</v>
          </cell>
          <cell r="M101">
            <v>3847.8185745140395</v>
          </cell>
          <cell r="N101">
            <v>3847.8185745140395</v>
          </cell>
          <cell r="O101">
            <v>0.14262994278346269</v>
          </cell>
          <cell r="P101">
            <v>0.1473447952097536</v>
          </cell>
          <cell r="Q101">
            <v>0.14843382382199666</v>
          </cell>
        </row>
        <row r="102">
          <cell r="C102">
            <v>133600</v>
          </cell>
          <cell r="E102">
            <v>312327</v>
          </cell>
          <cell r="F102">
            <v>312300</v>
          </cell>
          <cell r="G102">
            <v>535000</v>
          </cell>
          <cell r="H102">
            <v>535000</v>
          </cell>
          <cell r="I102">
            <v>-27</v>
          </cell>
          <cell r="J102">
            <v>222700</v>
          </cell>
          <cell r="K102">
            <v>0</v>
          </cell>
          <cell r="L102">
            <v>133.77769461077844</v>
          </cell>
          <cell r="M102">
            <v>133.75748502994011</v>
          </cell>
          <cell r="N102">
            <v>300.44910179640721</v>
          </cell>
          <cell r="O102">
            <v>0.28116298474321694</v>
          </cell>
          <cell r="P102">
            <v>0.27972166019883848</v>
          </cell>
          <cell r="Q102">
            <v>0.48273186897447989</v>
          </cell>
        </row>
        <row r="103">
          <cell r="C103">
            <v>0</v>
          </cell>
          <cell r="E103">
            <v>0</v>
          </cell>
          <cell r="F103">
            <v>0</v>
          </cell>
          <cell r="G103">
            <v>0</v>
          </cell>
          <cell r="H103">
            <v>0</v>
          </cell>
          <cell r="I103">
            <v>0</v>
          </cell>
          <cell r="J103">
            <v>0</v>
          </cell>
          <cell r="K103">
            <v>0</v>
          </cell>
          <cell r="L103" t="str">
            <v>n.a.</v>
          </cell>
          <cell r="M103" t="str">
            <v>n.a.</v>
          </cell>
          <cell r="N103" t="str">
            <v>n.a.</v>
          </cell>
          <cell r="O103" t="str">
            <v xml:space="preserve"> </v>
          </cell>
          <cell r="P103" t="str">
            <v xml:space="preserve"> </v>
          </cell>
          <cell r="Q103" t="str">
            <v xml:space="preserve"> </v>
          </cell>
        </row>
        <row r="104">
          <cell r="O104" t="str">
            <v xml:space="preserve"> </v>
          </cell>
        </row>
        <row r="105">
          <cell r="C105">
            <v>305800</v>
          </cell>
          <cell r="E105">
            <v>247105</v>
          </cell>
          <cell r="F105">
            <v>389161.97207981616</v>
          </cell>
          <cell r="G105">
            <v>125500</v>
          </cell>
          <cell r="H105">
            <v>125500</v>
          </cell>
          <cell r="I105">
            <v>142056.97207981616</v>
          </cell>
          <cell r="J105">
            <v>-263661.97207981616</v>
          </cell>
          <cell r="K105">
            <v>0</v>
          </cell>
          <cell r="L105">
            <v>-19.193917593198172</v>
          </cell>
          <cell r="M105">
            <v>27.260291720018358</v>
          </cell>
          <cell r="N105">
            <v>-58.960104643557877</v>
          </cell>
          <cell r="O105">
            <v>0.22244884158261255</v>
          </cell>
          <cell r="P105">
            <v>0.34856558730842202</v>
          </cell>
          <cell r="Q105">
            <v>0.11323897113326585</v>
          </cell>
        </row>
        <row r="106">
          <cell r="C106">
            <v>-307002</v>
          </cell>
          <cell r="E106">
            <v>530132</v>
          </cell>
          <cell r="F106">
            <v>399361.97207981616</v>
          </cell>
          <cell r="G106">
            <v>76600</v>
          </cell>
          <cell r="H106">
            <v>76600</v>
          </cell>
          <cell r="I106">
            <v>-130770.02792018384</v>
          </cell>
          <cell r="J106">
            <v>-322761.97207981616</v>
          </cell>
          <cell r="K106">
            <v>0</v>
          </cell>
          <cell r="L106">
            <v>-272.68030827160732</v>
          </cell>
          <cell r="M106">
            <v>-230.08448546909017</v>
          </cell>
          <cell r="N106">
            <v>-124.95097751806176</v>
          </cell>
          <cell r="O106">
            <v>0.47723538287721229</v>
          </cell>
          <cell r="P106">
            <v>0.35770154931299508</v>
          </cell>
          <cell r="Q106">
            <v>6.911637600643955E-2</v>
          </cell>
        </row>
        <row r="107">
          <cell r="C107">
            <v>39498</v>
          </cell>
          <cell r="E107">
            <v>79300</v>
          </cell>
          <cell r="F107">
            <v>82168</v>
          </cell>
          <cell r="G107">
            <v>78400</v>
          </cell>
          <cell r="H107">
            <v>78400</v>
          </cell>
          <cell r="I107">
            <v>2868</v>
          </cell>
          <cell r="J107">
            <v>-3768</v>
          </cell>
          <cell r="K107">
            <v>0</v>
          </cell>
          <cell r="L107">
            <v>100.76965922325184</v>
          </cell>
          <cell r="M107">
            <v>108.03078636893008</v>
          </cell>
          <cell r="N107">
            <v>98.491062838624742</v>
          </cell>
          <cell r="O107">
            <v>7.1387439094721575E-2</v>
          </cell>
          <cell r="P107">
            <v>7.3596443724681909E-2</v>
          </cell>
          <cell r="Q107">
            <v>7.0740520612335003E-2</v>
          </cell>
        </row>
        <row r="108">
          <cell r="C108">
            <v>-436497</v>
          </cell>
          <cell r="E108">
            <v>458041</v>
          </cell>
          <cell r="F108">
            <v>620603.80000000005</v>
          </cell>
          <cell r="G108">
            <v>443700</v>
          </cell>
          <cell r="H108">
            <v>443700</v>
          </cell>
          <cell r="I108">
            <v>162562.80000000005</v>
          </cell>
          <cell r="J108">
            <v>-176903.80000000005</v>
          </cell>
          <cell r="K108">
            <v>0</v>
          </cell>
          <cell r="L108">
            <v>-204.93565820612741</v>
          </cell>
          <cell r="M108">
            <v>-242.17825093872355</v>
          </cell>
          <cell r="N108">
            <v>-201.65018316277087</v>
          </cell>
          <cell r="O108">
            <v>0.41233762913474609</v>
          </cell>
          <cell r="P108">
            <v>0.55586399379349316</v>
          </cell>
          <cell r="Q108">
            <v>0.40035164535322754</v>
          </cell>
        </row>
        <row r="109">
          <cell r="C109">
            <v>0</v>
          </cell>
          <cell r="E109">
            <v>-97751</v>
          </cell>
          <cell r="F109">
            <v>0</v>
          </cell>
          <cell r="G109">
            <v>0</v>
          </cell>
          <cell r="H109">
            <v>0</v>
          </cell>
          <cell r="I109">
            <v>97751</v>
          </cell>
          <cell r="J109">
            <v>0</v>
          </cell>
          <cell r="K109">
            <v>0</v>
          </cell>
          <cell r="L109" t="str">
            <v>n.a.</v>
          </cell>
          <cell r="M109" t="str">
            <v>n.a.</v>
          </cell>
          <cell r="N109" t="str">
            <v>n.a.</v>
          </cell>
          <cell r="O109">
            <v>-8.7997396708047015E-2</v>
          </cell>
          <cell r="P109" t="str">
            <v xml:space="preserve"> </v>
          </cell>
          <cell r="Q109" t="str">
            <v xml:space="preserve"> </v>
          </cell>
        </row>
        <row r="110">
          <cell r="C110">
            <v>89997</v>
          </cell>
          <cell r="E110">
            <v>90542</v>
          </cell>
          <cell r="F110">
            <v>8890.172079816135</v>
          </cell>
          <cell r="G110">
            <v>89500</v>
          </cell>
          <cell r="H110">
            <v>89500</v>
          </cell>
          <cell r="I110">
            <v>-81651.82792018386</v>
          </cell>
          <cell r="J110">
            <v>80609.82792018386</v>
          </cell>
          <cell r="K110">
            <v>0</v>
          </cell>
          <cell r="L110">
            <v>0.60557574141359982</v>
          </cell>
          <cell r="M110">
            <v>-90.121701745818044</v>
          </cell>
          <cell r="N110">
            <v>-0.55224063024322811</v>
          </cell>
          <cell r="O110">
            <v>8.1507711355791684E-2</v>
          </cell>
          <cell r="P110">
            <v>7.9627719936584372E-3</v>
          </cell>
          <cell r="Q110">
            <v>8.0756079015356919E-2</v>
          </cell>
        </row>
        <row r="111">
          <cell r="F111">
            <v>-312300</v>
          </cell>
          <cell r="G111">
            <v>-535000</v>
          </cell>
          <cell r="H111">
            <v>-535000</v>
          </cell>
          <cell r="I111">
            <v>-312300</v>
          </cell>
          <cell r="J111">
            <v>-222700</v>
          </cell>
          <cell r="K111">
            <v>0</v>
          </cell>
          <cell r="L111" t="str">
            <v>n.a.</v>
          </cell>
          <cell r="M111" t="str">
            <v>n.a.</v>
          </cell>
          <cell r="N111" t="str">
            <v>n.a.</v>
          </cell>
          <cell r="O111" t="str">
            <v xml:space="preserve"> </v>
          </cell>
          <cell r="P111">
            <v>-0.27972166019883848</v>
          </cell>
          <cell r="Q111">
            <v>-0.48273186897447989</v>
          </cell>
        </row>
        <row r="112">
          <cell r="C112">
            <v>612802</v>
          </cell>
          <cell r="E112">
            <v>-283027</v>
          </cell>
          <cell r="F112">
            <v>-10200</v>
          </cell>
          <cell r="G112">
            <v>48900</v>
          </cell>
          <cell r="H112">
            <v>48900</v>
          </cell>
          <cell r="I112">
            <v>272827</v>
          </cell>
          <cell r="J112">
            <v>59100</v>
          </cell>
          <cell r="K112">
            <v>0</v>
          </cell>
          <cell r="L112">
            <v>-146.18571740953848</v>
          </cell>
          <cell r="M112">
            <v>-101.66448542922511</v>
          </cell>
          <cell r="N112">
            <v>-92.020261030479674</v>
          </cell>
          <cell r="O112">
            <v>-0.25478654129459977</v>
          </cell>
          <cell r="P112">
            <v>-9.1359620045730148E-3</v>
          </cell>
          <cell r="Q112">
            <v>4.4122595126826293E-2</v>
          </cell>
        </row>
        <row r="113">
          <cell r="C113">
            <v>37702</v>
          </cell>
          <cell r="E113">
            <v>57300</v>
          </cell>
          <cell r="F113">
            <v>57800</v>
          </cell>
          <cell r="G113">
            <v>56900</v>
          </cell>
          <cell r="H113">
            <v>56900</v>
          </cell>
          <cell r="I113">
            <v>500</v>
          </cell>
          <cell r="J113">
            <v>-900</v>
          </cell>
          <cell r="K113">
            <v>0</v>
          </cell>
          <cell r="L113">
            <v>51.981327250543742</v>
          </cell>
          <cell r="M113">
            <v>53.307516842607818</v>
          </cell>
          <cell r="N113">
            <v>50.920375576892461</v>
          </cell>
          <cell r="O113">
            <v>5.1582601010435644E-2</v>
          </cell>
          <cell r="P113">
            <v>5.1770451359247086E-2</v>
          </cell>
          <cell r="Q113">
            <v>5.1341015597472721E-2</v>
          </cell>
        </row>
        <row r="114">
          <cell r="C114">
            <v>620100</v>
          </cell>
          <cell r="E114">
            <v>-235327</v>
          </cell>
          <cell r="F114">
            <v>37000</v>
          </cell>
          <cell r="G114">
            <v>77000</v>
          </cell>
          <cell r="H114">
            <v>77000</v>
          </cell>
          <cell r="I114">
            <v>272327</v>
          </cell>
          <cell r="J114">
            <v>40000</v>
          </cell>
          <cell r="K114">
            <v>0</v>
          </cell>
          <cell r="L114">
            <v>-137.94984679890342</v>
          </cell>
          <cell r="M114">
            <v>-94.033220448314793</v>
          </cell>
          <cell r="N114">
            <v>-87.582647960006454</v>
          </cell>
          <cell r="O114">
            <v>-0.21184605144821617</v>
          </cell>
          <cell r="P114">
            <v>3.3140254330313874E-2</v>
          </cell>
          <cell r="Q114">
            <v>6.947729702997188E-2</v>
          </cell>
        </row>
        <row r="115">
          <cell r="C115">
            <v>-45000</v>
          </cell>
          <cell r="E115">
            <v>-105000</v>
          </cell>
          <cell r="F115">
            <v>-105000</v>
          </cell>
          <cell r="G115">
            <v>-85000</v>
          </cell>
          <cell r="H115">
            <v>-85000</v>
          </cell>
          <cell r="I115">
            <v>0</v>
          </cell>
          <cell r="J115">
            <v>20000</v>
          </cell>
          <cell r="K115">
            <v>0</v>
          </cell>
          <cell r="L115">
            <v>133.33333333333334</v>
          </cell>
          <cell r="M115">
            <v>133.33333333333334</v>
          </cell>
          <cell r="N115">
            <v>88.888888888888886</v>
          </cell>
          <cell r="O115">
            <v>-9.4523090856819231E-2</v>
          </cell>
          <cell r="P115">
            <v>-9.4046667694133973E-2</v>
          </cell>
          <cell r="Q115">
            <v>-7.6695717500618307E-2</v>
          </cell>
        </row>
        <row r="116">
          <cell r="O116" t="str">
            <v xml:space="preserve"> </v>
          </cell>
        </row>
        <row r="117">
          <cell r="C117">
            <v>-97919.910512499977</v>
          </cell>
          <cell r="E117">
            <v>-325992</v>
          </cell>
          <cell r="F117">
            <v>143224.00926732249</v>
          </cell>
          <cell r="G117">
            <v>-15107.434658093029</v>
          </cell>
          <cell r="H117">
            <v>-348698.69265809434</v>
          </cell>
          <cell r="I117">
            <v>469216.00926732249</v>
          </cell>
          <cell r="J117">
            <v>-158331.44392541551</v>
          </cell>
          <cell r="K117">
            <v>303061.75770000275</v>
          </cell>
          <cell r="L117">
            <v>-258.91053164888308</v>
          </cell>
          <cell r="M117">
            <v>-30.182938668572312</v>
          </cell>
          <cell r="N117">
            <v>-107.36438462713296</v>
          </cell>
          <cell r="O117">
            <v>-0.29346448985329732</v>
          </cell>
          <cell r="P117">
            <v>0.12828324576557565</v>
          </cell>
          <cell r="Q117">
            <v>-1.3631476949366506E-2</v>
          </cell>
        </row>
        <row r="119">
          <cell r="C119">
            <v>-4.0501517825990447</v>
          </cell>
          <cell r="E119">
            <v>-4.2850557877082673</v>
          </cell>
          <cell r="F119">
            <v>-3.8971062437395405</v>
          </cell>
          <cell r="G119">
            <v>-4.6284539439582524</v>
          </cell>
          <cell r="H119">
            <v>-4.9241161677171981</v>
          </cell>
          <cell r="I119">
            <v>0.38794954396872683</v>
          </cell>
          <cell r="J119">
            <v>-0.73134770021871187</v>
          </cell>
        </row>
        <row r="120">
          <cell r="C120">
            <v>-3.2141598571907508</v>
          </cell>
          <cell r="E120">
            <v>-3.8612628601815877</v>
          </cell>
          <cell r="F120">
            <v>-3.4700397883309484</v>
          </cell>
          <cell r="G120">
            <v>-3.9972882511617764</v>
          </cell>
          <cell r="H120">
            <v>-4.2929504749207208</v>
          </cell>
          <cell r="I120">
            <v>0.39122307185063931</v>
          </cell>
          <cell r="J120">
            <v>-0.52724846283082805</v>
          </cell>
        </row>
        <row r="121">
          <cell r="C121">
            <v>89328108</v>
          </cell>
          <cell r="E121">
            <v>111083968</v>
          </cell>
          <cell r="F121">
            <v>111646699</v>
          </cell>
          <cell r="G121">
            <v>110827570</v>
          </cell>
          <cell r="H121">
            <v>110827570</v>
          </cell>
        </row>
        <row r="123">
          <cell r="P123" t="str">
            <v>c:\opef1997.xls</v>
          </cell>
        </row>
      </sheetData>
      <sheetData sheetId="5" refreshError="1"/>
      <sheetData sheetId="6" refreshError="1">
        <row r="8">
          <cell r="C8" t="str">
            <v>Observ.</v>
          </cell>
          <cell r="N8" t="str">
            <v>Observ.</v>
          </cell>
          <cell r="Y8" t="str">
            <v>Observ.</v>
          </cell>
          <cell r="AL8" t="str">
            <v>Var. %</v>
          </cell>
          <cell r="AV8" t="str">
            <v>Var.%</v>
          </cell>
          <cell r="BG8" t="str">
            <v>% PIB</v>
          </cell>
          <cell r="BR8" t="str">
            <v>% PIB</v>
          </cell>
          <cell r="CC8" t="str">
            <v>% PIB</v>
          </cell>
        </row>
        <row r="9">
          <cell r="C9" t="str">
            <v>Ene-Feb/95</v>
          </cell>
          <cell r="N9" t="str">
            <v>Ene-Feb/96</v>
          </cell>
          <cell r="Y9" t="str">
            <v>Ene-Feb/97</v>
          </cell>
          <cell r="AL9" t="str">
            <v>96/95</v>
          </cell>
          <cell r="AV9" t="str">
            <v>97/96</v>
          </cell>
          <cell r="BG9" t="str">
            <v>Ene-Feb/95</v>
          </cell>
          <cell r="BR9" t="str">
            <v>Ene-Feb/96</v>
          </cell>
          <cell r="CC9" t="str">
            <v>Ene-Feb/97</v>
          </cell>
        </row>
        <row r="11">
          <cell r="C11">
            <v>1351.6</v>
          </cell>
          <cell r="N11">
            <v>1750.3765268</v>
          </cell>
          <cell r="Y11">
            <v>2074.7699591537189</v>
          </cell>
          <cell r="AL11">
            <v>29.504034240899692</v>
          </cell>
          <cell r="AV11">
            <v>18.532780083995306</v>
          </cell>
          <cell r="BG11">
            <v>1.8311704472717816</v>
          </cell>
          <cell r="BR11">
            <v>1.9623030335526566</v>
          </cell>
          <cell r="CC11">
            <v>1.8583352465743022</v>
          </cell>
        </row>
        <row r="12">
          <cell r="C12">
            <v>1200</v>
          </cell>
          <cell r="N12">
            <v>1554.6018999999999</v>
          </cell>
          <cell r="Y12">
            <v>1796.686580910241</v>
          </cell>
          <cell r="AL12">
            <v>29.550158333333322</v>
          </cell>
          <cell r="AV12">
            <v>15.572133348752581</v>
          </cell>
          <cell r="BG12">
            <v>1.6257802136180364</v>
          </cell>
          <cell r="BR12">
            <v>1.7446089917890577</v>
          </cell>
          <cell r="CC12">
            <v>1.6092608173845255</v>
          </cell>
        </row>
        <row r="13">
          <cell r="C13">
            <v>852.3605</v>
          </cell>
          <cell r="N13">
            <v>1037.623</v>
          </cell>
          <cell r="Y13">
            <v>1304.0493093476998</v>
          </cell>
          <cell r="AL13">
            <v>21.735228227962232</v>
          </cell>
          <cell r="AV13">
            <v>25.676600205247937</v>
          </cell>
          <cell r="BG13">
            <v>1.1547923631413135</v>
          </cell>
          <cell r="BR13">
            <v>1.1537978561830191</v>
          </cell>
          <cell r="CC13">
            <v>1.2117629572288473</v>
          </cell>
        </row>
        <row r="14">
          <cell r="C14">
            <v>463.64150000000001</v>
          </cell>
          <cell r="N14">
            <v>546.55399999999997</v>
          </cell>
          <cell r="Y14">
            <v>611.93854244269994</v>
          </cell>
          <cell r="AL14">
            <v>17.882890120923168</v>
          </cell>
          <cell r="AV14">
            <v>11.96305258816146</v>
          </cell>
          <cell r="BG14">
            <v>0.62814931409348906</v>
          </cell>
          <cell r="BR14">
            <v>0.60774754750834725</v>
          </cell>
          <cell r="CC14">
            <v>0.56863222312014827</v>
          </cell>
        </row>
        <row r="15">
          <cell r="C15">
            <v>388.71899999999999</v>
          </cell>
          <cell r="N15">
            <v>491.06900000000002</v>
          </cell>
          <cell r="Y15">
            <v>692.11076690499999</v>
          </cell>
          <cell r="AL15">
            <v>26.330073909430716</v>
          </cell>
          <cell r="AV15">
            <v>40.939616816577697</v>
          </cell>
          <cell r="BG15">
            <v>0.52664304904782455</v>
          </cell>
          <cell r="BR15">
            <v>0.54605030867467186</v>
          </cell>
          <cell r="CC15">
            <v>0.64313073410869914</v>
          </cell>
        </row>
        <row r="16">
          <cell r="C16">
            <v>321.7</v>
          </cell>
          <cell r="N16">
            <v>402.43200000000002</v>
          </cell>
          <cell r="Y16">
            <v>365.20456975399998</v>
          </cell>
          <cell r="AL16">
            <v>25.095430525334162</v>
          </cell>
          <cell r="AV16">
            <v>-9.2506138294171532</v>
          </cell>
          <cell r="BG16">
            <v>0.43584457893410189</v>
          </cell>
          <cell r="BR16">
            <v>0.44748928932709164</v>
          </cell>
          <cell r="CC16">
            <v>0.3393593833196078</v>
          </cell>
        </row>
        <row r="17">
          <cell r="C17">
            <v>128.68</v>
          </cell>
          <cell r="N17">
            <v>149.88300000000001</v>
          </cell>
          <cell r="Y17">
            <v>136.70456975400006</v>
          </cell>
          <cell r="AL17">
            <v>16.477308050979179</v>
          </cell>
          <cell r="AV17">
            <v>-8.7924782970716819</v>
          </cell>
          <cell r="BG17">
            <v>0.17433783157364077</v>
          </cell>
          <cell r="BR17">
            <v>0.16666427409403942</v>
          </cell>
          <cell r="CC17">
            <v>0.12703011498442965</v>
          </cell>
        </row>
        <row r="18">
          <cell r="C18">
            <v>193.01999999999998</v>
          </cell>
          <cell r="N18">
            <v>252.54900000000001</v>
          </cell>
          <cell r="Y18">
            <v>228.49999999999991</v>
          </cell>
          <cell r="AL18">
            <v>30.840845508237514</v>
          </cell>
          <cell r="AV18">
            <v>-9.5225085033003865</v>
          </cell>
          <cell r="BG18">
            <v>0.26150674736046114</v>
          </cell>
          <cell r="BR18">
            <v>0.2808250152330522</v>
          </cell>
          <cell r="CC18">
            <v>0.21232926833517815</v>
          </cell>
        </row>
        <row r="19">
          <cell r="C19">
            <v>25.93950000000001</v>
          </cell>
          <cell r="N19">
            <v>114.54689999999982</v>
          </cell>
          <cell r="Y19">
            <v>168.74636304954106</v>
          </cell>
          <cell r="AL19">
            <v>341.59255189961169</v>
          </cell>
          <cell r="AV19">
            <v>47.316394463351962</v>
          </cell>
          <cell r="BG19">
            <v>3.5143271542620896E-2</v>
          </cell>
          <cell r="BR19">
            <v>0.12737185630273276</v>
          </cell>
          <cell r="CC19">
            <v>0.15114317266965599</v>
          </cell>
        </row>
        <row r="20">
          <cell r="C20">
            <v>0</v>
          </cell>
          <cell r="N20">
            <v>14.343999999999999</v>
          </cell>
          <cell r="Y20">
            <v>0</v>
          </cell>
          <cell r="AL20" t="str">
            <v>n.a.</v>
          </cell>
          <cell r="AV20">
            <v>-100</v>
          </cell>
          <cell r="BG20">
            <v>0</v>
          </cell>
          <cell r="BR20">
            <v>1.5949989976214121E-2</v>
          </cell>
          <cell r="CC20">
            <v>0</v>
          </cell>
        </row>
        <row r="21">
          <cell r="C21">
            <v>151.60000000000002</v>
          </cell>
          <cell r="N21">
            <v>195.77462679999999</v>
          </cell>
          <cell r="Y21">
            <v>270.95352384618951</v>
          </cell>
          <cell r="AL21">
            <v>29.138935883904992</v>
          </cell>
          <cell r="AV21">
            <v>38.400735720973181</v>
          </cell>
          <cell r="BG21">
            <v>0.20539023365374531</v>
          </cell>
          <cell r="BR21">
            <v>0.21769404176359874</v>
          </cell>
          <cell r="CC21">
            <v>0.25177839593479073</v>
          </cell>
        </row>
        <row r="23">
          <cell r="C23">
            <v>1355.4</v>
          </cell>
          <cell r="N23">
            <v>1770.2682138</v>
          </cell>
          <cell r="Y23">
            <v>2205.399487031254</v>
          </cell>
          <cell r="AL23">
            <v>30.608544621513943</v>
          </cell>
          <cell r="AV23">
            <v>24.579963072218035</v>
          </cell>
          <cell r="BG23">
            <v>1.8363187512815722</v>
          </cell>
          <cell r="BR23">
            <v>1.9684718534105186</v>
          </cell>
          <cell r="CC23">
            <v>2.0493254243681558</v>
          </cell>
        </row>
        <row r="25">
          <cell r="C25">
            <v>1215.9000000000001</v>
          </cell>
          <cell r="N25">
            <v>1533.5845286000001</v>
          </cell>
          <cell r="Y25">
            <v>1915.3692212066708</v>
          </cell>
          <cell r="AL25">
            <v>62.552194780643113</v>
          </cell>
          <cell r="AV25">
            <v>24.89492333071459</v>
          </cell>
          <cell r="BG25">
            <v>1.6473218014484754</v>
          </cell>
          <cell r="BR25">
            <v>1.7052884731488469</v>
          </cell>
          <cell r="CC25">
            <v>1.7798203296741033</v>
          </cell>
        </row>
        <row r="26">
          <cell r="C26">
            <v>294.5</v>
          </cell>
          <cell r="N26">
            <v>361.848885</v>
          </cell>
          <cell r="Y26">
            <v>386.72142430632664</v>
          </cell>
          <cell r="AL26">
            <v>22.868891341256358</v>
          </cell>
          <cell r="AV26">
            <v>6.8737366169655756</v>
          </cell>
          <cell r="BG26">
            <v>0.39899356075875975</v>
          </cell>
          <cell r="BR26">
            <v>0.40236238766412824</v>
          </cell>
          <cell r="CC26">
            <v>0.35935351016411532</v>
          </cell>
        </row>
        <row r="27">
          <cell r="C27">
            <v>109.7</v>
          </cell>
          <cell r="N27">
            <v>120.9159234</v>
          </cell>
          <cell r="Y27">
            <v>181.51572049261335</v>
          </cell>
          <cell r="AL27">
            <v>10.224178122151306</v>
          </cell>
          <cell r="AV27">
            <v>50.117300838983915</v>
          </cell>
          <cell r="BG27">
            <v>0.14862340786158218</v>
          </cell>
          <cell r="BR27">
            <v>0.13445397143019205</v>
          </cell>
          <cell r="CC27">
            <v>0.16867002242244777</v>
          </cell>
        </row>
        <row r="28">
          <cell r="C28">
            <v>811.7</v>
          </cell>
          <cell r="N28">
            <v>1050.8197202000001</v>
          </cell>
          <cell r="Y28">
            <v>1347.1320764077309</v>
          </cell>
          <cell r="AL28">
            <v>29.459125317235447</v>
          </cell>
          <cell r="AV28">
            <v>28.198210455294294</v>
          </cell>
          <cell r="BG28">
            <v>1.0997048328281336</v>
          </cell>
          <cell r="BR28">
            <v>1.1684721140545267</v>
          </cell>
          <cell r="CC28">
            <v>1.2517967970875403</v>
          </cell>
        </row>
        <row r="30">
          <cell r="C30">
            <v>139.5</v>
          </cell>
          <cell r="N30">
            <v>236.68368520000001</v>
          </cell>
          <cell r="Y30">
            <v>290.03026582458335</v>
          </cell>
          <cell r="AL30">
            <v>69.665724157706109</v>
          </cell>
          <cell r="AV30">
            <v>22.539187937480754</v>
          </cell>
          <cell r="BG30">
            <v>0.18899694983309673</v>
          </cell>
          <cell r="BR30">
            <v>0.26318338026167171</v>
          </cell>
          <cell r="CC30">
            <v>0.26950509469405265</v>
          </cell>
        </row>
        <row r="31">
          <cell r="C31">
            <v>97.1</v>
          </cell>
          <cell r="N31">
            <v>175.18020000000001</v>
          </cell>
          <cell r="Y31">
            <v>201.8348269</v>
          </cell>
          <cell r="AL31">
            <v>80.412152420185407</v>
          </cell>
          <cell r="AV31">
            <v>15.215547704592169</v>
          </cell>
          <cell r="BG31">
            <v>0.13155271561859277</v>
          </cell>
          <cell r="BR31">
            <v>0.19479381163072959</v>
          </cell>
          <cell r="CC31">
            <v>0.18755116463997529</v>
          </cell>
        </row>
        <row r="32">
          <cell r="C32">
            <v>42.4</v>
          </cell>
          <cell r="N32">
            <v>61.5034852</v>
          </cell>
          <cell r="Y32">
            <v>88.195438924583343</v>
          </cell>
          <cell r="AL32">
            <v>45.055389622641506</v>
          </cell>
          <cell r="AV32">
            <v>43.39909134870188</v>
          </cell>
          <cell r="BG32">
            <v>5.7444234214503953E-2</v>
          </cell>
          <cell r="BR32">
            <v>6.8389568630942116E-2</v>
          </cell>
          <cell r="CC32">
            <v>8.1953930054077376E-2</v>
          </cell>
        </row>
        <row r="34">
          <cell r="C34">
            <v>-3.8000000000001819</v>
          </cell>
          <cell r="N34">
            <v>-19.891687000000047</v>
          </cell>
          <cell r="Y34">
            <v>-129.41496909427769</v>
          </cell>
          <cell r="AL34">
            <v>423.46544736839718</v>
          </cell>
          <cell r="AV34">
            <v>550.59825792692891</v>
          </cell>
          <cell r="BG34">
            <v>-5.1483040097906052E-3</v>
          </cell>
          <cell r="BR34">
            <v>-6.1688198578619957E-3</v>
          </cell>
          <cell r="CC34">
            <v>-0.11591472945767765</v>
          </cell>
        </row>
        <row r="35">
          <cell r="CC35" t="str">
            <v xml:space="preserve"> </v>
          </cell>
        </row>
        <row r="36">
          <cell r="C36">
            <v>152.9</v>
          </cell>
          <cell r="N36">
            <v>355.98207019999995</v>
          </cell>
          <cell r="Y36">
            <v>445.61932095476669</v>
          </cell>
          <cell r="AL36">
            <v>132.82018979725305</v>
          </cell>
          <cell r="AV36">
            <v>25.180271215459314</v>
          </cell>
          <cell r="BG36">
            <v>0.20715149555183146</v>
          </cell>
          <cell r="BR36">
            <v>0.39583870966271273</v>
          </cell>
          <cell r="CC36">
            <v>0.41408325765577492</v>
          </cell>
        </row>
        <row r="37">
          <cell r="C37">
            <v>152.9</v>
          </cell>
          <cell r="N37">
            <v>355.98207019999995</v>
          </cell>
          <cell r="Y37">
            <v>445.61932095476669</v>
          </cell>
          <cell r="AL37">
            <v>132.82018979725305</v>
          </cell>
          <cell r="AV37">
            <v>25.180271215459314</v>
          </cell>
          <cell r="BG37">
            <v>0.20715149555183146</v>
          </cell>
          <cell r="BR37">
            <v>0.39583870966271273</v>
          </cell>
          <cell r="CC37">
            <v>0.41408325765577492</v>
          </cell>
        </row>
        <row r="38">
          <cell r="N38">
            <v>0</v>
          </cell>
          <cell r="AL38" t="str">
            <v>n.a.</v>
          </cell>
          <cell r="AV38" t="str">
            <v>n.a.</v>
          </cell>
          <cell r="BG38">
            <v>0</v>
          </cell>
          <cell r="BR38">
            <v>0</v>
          </cell>
          <cell r="CC38" t="str">
            <v xml:space="preserve"> </v>
          </cell>
        </row>
        <row r="40">
          <cell r="C40">
            <v>1508.3000000000002</v>
          </cell>
          <cell r="N40">
            <v>2126.2502839999997</v>
          </cell>
          <cell r="Y40">
            <v>2651.0188079860209</v>
          </cell>
          <cell r="AL40">
            <v>40.969985016243427</v>
          </cell>
          <cell r="AV40">
            <v>24.680468143138935</v>
          </cell>
          <cell r="BG40">
            <v>2.0434702468334036</v>
          </cell>
          <cell r="BR40">
            <v>2.3643105630732313</v>
          </cell>
          <cell r="CC40">
            <v>2.4634086820239309</v>
          </cell>
        </row>
        <row r="42">
          <cell r="C42">
            <v>-156.70000000000027</v>
          </cell>
          <cell r="N42">
            <v>-375.87375719999977</v>
          </cell>
          <cell r="Y42">
            <v>-581.9088414490443</v>
          </cell>
          <cell r="AL42">
            <v>139.86838366304983</v>
          </cell>
          <cell r="AV42">
            <v>54.814969202389598</v>
          </cell>
          <cell r="BG42">
            <v>-0.21229979956162204</v>
          </cell>
          <cell r="BR42">
            <v>-0.40200752952057472</v>
          </cell>
          <cell r="CC42">
            <v>-0.52120559466701688</v>
          </cell>
        </row>
        <row r="44">
          <cell r="C44">
            <v>21.799999999999997</v>
          </cell>
          <cell r="N44">
            <v>30.170460279310003</v>
          </cell>
          <cell r="Y44">
            <v>55.658390556203329</v>
          </cell>
          <cell r="AL44">
            <v>38.396606785825725</v>
          </cell>
          <cell r="AV44">
            <v>84.47975284743066</v>
          </cell>
          <cell r="BG44">
            <v>2.953500721406099E-2</v>
          </cell>
          <cell r="BR44">
            <v>3.354842017796715E-2</v>
          </cell>
          <cell r="CC44">
            <v>5.1719498221060159E-2</v>
          </cell>
        </row>
        <row r="46">
          <cell r="C46">
            <v>-178.50000000000028</v>
          </cell>
          <cell r="N46">
            <v>-406.04421747930979</v>
          </cell>
          <cell r="Y46">
            <v>-637.25664233272767</v>
          </cell>
          <cell r="AL46">
            <v>101.4717768772241</v>
          </cell>
          <cell r="AV46">
            <v>56.942671487545418</v>
          </cell>
          <cell r="BG46">
            <v>-0.24183480677568303</v>
          </cell>
          <cell r="BR46">
            <v>-0.43555594969854189</v>
          </cell>
          <cell r="CC46">
            <v>-0.57077965406995845</v>
          </cell>
        </row>
        <row r="48">
          <cell r="C48">
            <v>178.49999999999997</v>
          </cell>
          <cell r="N48">
            <v>406.35880005999991</v>
          </cell>
          <cell r="Y48">
            <v>786.32312548603068</v>
          </cell>
          <cell r="AL48">
            <v>127.65198882913165</v>
          </cell>
          <cell r="AV48">
            <v>93.504638110440339</v>
          </cell>
          <cell r="BG48">
            <v>0.24183480677568286</v>
          </cell>
          <cell r="BR48">
            <v>0.45185574370492176</v>
          </cell>
          <cell r="CC48">
            <v>0.73067577203273282</v>
          </cell>
        </row>
        <row r="50">
          <cell r="C50">
            <v>-20</v>
          </cell>
          <cell r="N50">
            <v>368.28438698000002</v>
          </cell>
          <cell r="Y50">
            <v>1057.3233530525597</v>
          </cell>
          <cell r="AL50">
            <v>-1941.4219349</v>
          </cell>
          <cell r="AV50">
            <v>187.09426476718343</v>
          </cell>
          <cell r="BG50">
            <v>-2.7096336893633929E-2</v>
          </cell>
          <cell r="BR50">
            <v>0.40951842447902703</v>
          </cell>
          <cell r="CC50">
            <v>0.98249756650917885</v>
          </cell>
        </row>
        <row r="51">
          <cell r="C51">
            <v>55.2</v>
          </cell>
          <cell r="N51">
            <v>464.97001040000004</v>
          </cell>
          <cell r="Y51">
            <v>1156.427368084393</v>
          </cell>
          <cell r="AL51">
            <v>742.33697536231875</v>
          </cell>
          <cell r="AV51">
            <v>148.71009790277711</v>
          </cell>
          <cell r="BG51">
            <v>7.4785889826429683E-2</v>
          </cell>
          <cell r="BR51">
            <v>0.517029211176811</v>
          </cell>
          <cell r="CC51">
            <v>1.0745880829240047</v>
          </cell>
        </row>
        <row r="52">
          <cell r="C52">
            <v>75.2</v>
          </cell>
          <cell r="N52">
            <v>96.685623419999999</v>
          </cell>
          <cell r="Y52">
            <v>99.104015031833342</v>
          </cell>
          <cell r="AL52">
            <v>28.571307739361696</v>
          </cell>
          <cell r="AV52">
            <v>2.5012939114307686</v>
          </cell>
          <cell r="BG52">
            <v>0.10188222672006361</v>
          </cell>
          <cell r="BR52">
            <v>0.10751078669778397</v>
          </cell>
          <cell r="CC52">
            <v>9.209051641482574E-2</v>
          </cell>
        </row>
        <row r="54">
          <cell r="C54">
            <v>189</v>
          </cell>
          <cell r="N54">
            <v>139.33639999999997</v>
          </cell>
          <cell r="Y54">
            <v>1085.5462213390001</v>
          </cell>
          <cell r="AL54">
            <v>-26.277037037037054</v>
          </cell>
          <cell r="AV54">
            <v>679.08301157414735</v>
          </cell>
          <cell r="BG54">
            <v>0.25606038364484074</v>
          </cell>
          <cell r="BR54">
            <v>0.1549368504825544</v>
          </cell>
          <cell r="CC54">
            <v>1.0087231287567937</v>
          </cell>
        </row>
        <row r="55">
          <cell r="C55">
            <v>338.7</v>
          </cell>
          <cell r="N55">
            <v>581.48199999999997</v>
          </cell>
          <cell r="Y55">
            <v>1294.443394439</v>
          </cell>
          <cell r="AL55">
            <v>71.680543253616776</v>
          </cell>
          <cell r="AV55">
            <v>122.61108588726736</v>
          </cell>
          <cell r="BG55">
            <v>0.45887646529369081</v>
          </cell>
          <cell r="BR55">
            <v>0.64658617340692548</v>
          </cell>
          <cell r="CC55">
            <v>1.2028368439498356</v>
          </cell>
        </row>
        <row r="56">
          <cell r="C56">
            <v>149.69999999999999</v>
          </cell>
          <cell r="N56">
            <v>442.1456</v>
          </cell>
          <cell r="Y56">
            <v>208.8971731</v>
          </cell>
          <cell r="AL56">
            <v>195.35444221776888</v>
          </cell>
          <cell r="AV56">
            <v>-52.753759598648053</v>
          </cell>
          <cell r="BG56">
            <v>0.20281608164885004</v>
          </cell>
          <cell r="BR56">
            <v>0.49164932292437108</v>
          </cell>
          <cell r="CC56">
            <v>0.19411371519304194</v>
          </cell>
        </row>
        <row r="58">
          <cell r="C58">
            <v>9.0999999999999659</v>
          </cell>
          <cell r="N58">
            <v>-101.26198692000006</v>
          </cell>
          <cell r="Y58">
            <v>-1521.0055514055289</v>
          </cell>
          <cell r="AL58">
            <v>-1212.7690870329718</v>
          </cell>
          <cell r="AV58">
            <v>1402.0498784081415</v>
          </cell>
          <cell r="BG58">
            <v>1.2328833286603405E-2</v>
          </cell>
          <cell r="BR58">
            <v>-0.11259953125665965</v>
          </cell>
          <cell r="CC58">
            <v>-1.4133654085937868</v>
          </cell>
        </row>
        <row r="59">
          <cell r="C59">
            <v>0</v>
          </cell>
          <cell r="N59">
            <v>0</v>
          </cell>
          <cell r="Y59">
            <v>91.614049333333355</v>
          </cell>
          <cell r="AL59" t="str">
            <v>n.a.</v>
          </cell>
          <cell r="AV59" t="str">
            <v>n.a.</v>
          </cell>
          <cell r="BG59">
            <v>0</v>
          </cell>
          <cell r="BR59">
            <v>0</v>
          </cell>
          <cell r="CC59">
            <v>8.5130608595928206E-2</v>
          </cell>
        </row>
        <row r="60">
          <cell r="C60">
            <v>69.3</v>
          </cell>
          <cell r="N60">
            <v>-88.561513997600088</v>
          </cell>
          <cell r="Y60">
            <v>-1560.4291113079034</v>
          </cell>
          <cell r="AL60">
            <v>-951.9088105132513</v>
          </cell>
          <cell r="AV60">
            <v>1661.9720360135095</v>
          </cell>
          <cell r="BG60">
            <v>9.3888807336441601E-2</v>
          </cell>
          <cell r="BR60">
            <v>-9.8477081744288056E-2</v>
          </cell>
          <cell r="CC60">
            <v>-1.4499989999690135</v>
          </cell>
        </row>
        <row r="61">
          <cell r="C61">
            <v>-60.200000000000031</v>
          </cell>
          <cell r="N61">
            <v>-12.70047292239996</v>
          </cell>
          <cell r="Y61">
            <v>-52.190489430958706</v>
          </cell>
          <cell r="AL61">
            <v>-78.902868899667851</v>
          </cell>
          <cell r="AV61">
            <v>310.93343334412202</v>
          </cell>
          <cell r="BG61">
            <v>-8.1559974049838196E-2</v>
          </cell>
          <cell r="BR61">
            <v>-1.4122449512371599E-2</v>
          </cell>
          <cell r="CC61">
            <v>-4.8497017220701599E-2</v>
          </cell>
        </row>
        <row r="63">
          <cell r="C63">
            <v>0.4</v>
          </cell>
          <cell r="N63">
            <v>0</v>
          </cell>
          <cell r="Y63">
            <v>164.4591025</v>
          </cell>
          <cell r="AL63">
            <v>167.65910249999999</v>
          </cell>
          <cell r="AV63" t="str">
            <v>n.a.</v>
          </cell>
          <cell r="BG63">
            <v>5.4192673787267884E-4</v>
          </cell>
          <cell r="BR63">
            <v>0</v>
          </cell>
          <cell r="CC63">
            <v>0.1528204853605474</v>
          </cell>
        </row>
        <row r="65">
          <cell r="C65">
            <v>-0.21586306542070674</v>
          </cell>
          <cell r="N65">
            <v>-0.40200752952057472</v>
          </cell>
          <cell r="Y65">
            <v>-0.52120559466701688</v>
          </cell>
          <cell r="CC65">
            <v>-0.52120559466701688</v>
          </cell>
        </row>
        <row r="66">
          <cell r="C66">
            <v>-0.24597064588245593</v>
          </cell>
          <cell r="N66">
            <v>-0.43555594969854189</v>
          </cell>
          <cell r="Y66">
            <v>-0.57077965406995845</v>
          </cell>
          <cell r="CC66">
            <v>-0.57077965406995845</v>
          </cell>
        </row>
        <row r="67">
          <cell r="C67">
            <v>35781.130639351853</v>
          </cell>
        </row>
        <row r="68">
          <cell r="C68">
            <v>-3.1263880373444408E-13</v>
          </cell>
          <cell r="N68">
            <v>0.31458258069011436</v>
          </cell>
          <cell r="Y68">
            <v>-0.98093126158437371</v>
          </cell>
          <cell r="BG68">
            <v>73810715</v>
          </cell>
        </row>
        <row r="69">
          <cell r="N69">
            <v>3.9322822586264294E-2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ÒN"/>
      <sheetName val="Hoja1"/>
      <sheetName val="Hoja2"/>
    </sheetNames>
    <sheetDataSet>
      <sheetData sheetId="0" refreshError="1"/>
      <sheetData sheetId="1">
        <row r="4">
          <cell r="A4" t="str">
            <v>1. EQUIDAD</v>
          </cell>
          <cell r="F4" t="str">
            <v>1. Tolima, tierra de inclusión y bienestar</v>
          </cell>
        </row>
        <row r="5">
          <cell r="A5" t="str">
            <v>2. COMPETITIVIDAD</v>
          </cell>
          <cell r="F5" t="str">
            <v>2. Tolima, tierra de oportunidades</v>
          </cell>
        </row>
        <row r="6">
          <cell r="A6" t="str">
            <v>3. GOBERNABILIDAD</v>
          </cell>
          <cell r="F6" t="str">
            <v>3. Tolima, Gobierno de paz, unidad y reconciliación</v>
          </cell>
        </row>
        <row r="7">
          <cell r="A7" t="str">
            <v>4. SOSTENIBILIDAD</v>
          </cell>
          <cell r="F7" t="str">
            <v>4. Tolima, Territorio de conciencia ambiental</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O131"/>
  <sheetViews>
    <sheetView tabSelected="1" topLeftCell="S1" zoomScale="70" zoomScaleNormal="70" zoomScaleSheetLayoutView="30" workbookViewId="0">
      <pane ySplit="9" topLeftCell="A10" activePane="bottomLeft" state="frozen"/>
      <selection activeCell="Z9" sqref="Z9"/>
      <selection pane="bottomLeft" activeCell="V10" sqref="V10"/>
    </sheetView>
  </sheetViews>
  <sheetFormatPr baseColWidth="10" defaultRowHeight="15"/>
  <cols>
    <col min="1" max="1" width="25.5703125" style="5" hidden="1" customWidth="1"/>
    <col min="2" max="2" width="29.5703125" customWidth="1"/>
    <col min="3" max="3" width="25" style="5" customWidth="1"/>
    <col min="4" max="4" width="23" style="6" customWidth="1"/>
    <col min="5" max="5" width="26.28515625" customWidth="1"/>
    <col min="6" max="6" width="18.140625" style="7" customWidth="1"/>
    <col min="7" max="7" width="29.28515625" style="5" customWidth="1"/>
    <col min="8" max="8" width="20.42578125" style="8" customWidth="1"/>
    <col min="9" max="9" width="18.85546875" style="5" customWidth="1"/>
    <col min="10" max="10" width="17" style="59" customWidth="1"/>
    <col min="11" max="11" width="18.5703125" style="7" customWidth="1"/>
    <col min="12" max="12" width="3.7109375" style="7" customWidth="1"/>
    <col min="13" max="14" width="17.5703125" style="7" customWidth="1"/>
    <col min="15" max="15" width="19.85546875" style="7" customWidth="1"/>
    <col min="16" max="16" width="23.42578125" style="75" customWidth="1"/>
    <col min="17" max="17" width="27.5703125" style="7" customWidth="1"/>
    <col min="18" max="20" width="17.5703125" style="7" customWidth="1"/>
    <col min="21" max="25" width="19.42578125" style="9" customWidth="1"/>
    <col min="26" max="26" width="11.42578125" customWidth="1"/>
    <col min="27" max="27" width="11.28515625" customWidth="1"/>
    <col min="28" max="28" width="11.5703125" customWidth="1"/>
    <col min="29" max="29" width="11.7109375" customWidth="1"/>
    <col min="30" max="30" width="20.85546875" style="580" customWidth="1"/>
    <col min="31" max="31" width="22.28515625" style="580" customWidth="1"/>
    <col min="32" max="32" width="23.140625" style="580" customWidth="1"/>
    <col min="33" max="33" width="17.5703125" style="580" customWidth="1"/>
    <col min="34" max="34" width="17.28515625" style="580" customWidth="1"/>
    <col min="35" max="35" width="17.42578125" style="580" hidden="1" customWidth="1"/>
    <col min="36" max="36" width="20.5703125" style="615" hidden="1" customWidth="1"/>
    <col min="37" max="37" width="22.7109375" style="580" hidden="1" customWidth="1"/>
    <col min="38" max="38" width="19.85546875" style="580" hidden="1" customWidth="1"/>
    <col min="39" max="39" width="16.7109375" style="580" hidden="1" customWidth="1"/>
    <col min="40" max="40" width="15.5703125" style="580" hidden="1" customWidth="1"/>
    <col min="41" max="41" width="14.140625" style="580" hidden="1" customWidth="1"/>
    <col min="42" max="42" width="24.42578125" style="580" hidden="1" customWidth="1"/>
    <col min="43" max="43" width="22.7109375" style="580" customWidth="1"/>
    <col min="44" max="44" width="21" style="580" hidden="1" customWidth="1"/>
    <col min="45" max="45" width="22.140625" style="580" hidden="1" customWidth="1"/>
    <col min="46" max="46" width="23.7109375" style="580" customWidth="1"/>
    <col min="47" max="63" width="21.42578125" style="4" hidden="1" customWidth="1"/>
    <col min="64" max="64" width="27.85546875" style="4" hidden="1" customWidth="1"/>
    <col min="65" max="65" width="24" customWidth="1"/>
    <col min="66" max="66" width="23.140625" customWidth="1"/>
    <col min="67" max="67" width="16.28515625" style="12" bestFit="1" customWidth="1"/>
  </cols>
  <sheetData>
    <row r="1" spans="1:67">
      <c r="A1"/>
      <c r="C1"/>
      <c r="D1"/>
      <c r="F1"/>
      <c r="G1"/>
      <c r="H1"/>
      <c r="I1"/>
      <c r="K1"/>
      <c r="L1"/>
      <c r="M1" s="60"/>
      <c r="N1"/>
      <c r="O1" s="4"/>
      <c r="P1" s="72"/>
      <c r="Q1" s="60"/>
      <c r="R1" s="62"/>
      <c r="S1" s="62"/>
      <c r="T1" s="62"/>
      <c r="U1" s="63"/>
      <c r="V1" s="3"/>
      <c r="W1" s="3"/>
      <c r="X1" s="3"/>
      <c r="Y1" s="3"/>
      <c r="Z1" s="60"/>
      <c r="AA1" s="60"/>
      <c r="AB1" s="60"/>
      <c r="AC1" s="60"/>
    </row>
    <row r="2" spans="1:67" hidden="1">
      <c r="M2" s="61"/>
      <c r="P2" s="61"/>
      <c r="Q2" s="61"/>
      <c r="R2" s="61"/>
      <c r="S2" s="61"/>
      <c r="T2" s="61"/>
      <c r="U2" s="64"/>
      <c r="Z2" s="60"/>
      <c r="AA2" s="60"/>
      <c r="AB2" s="60"/>
      <c r="AC2" s="60"/>
    </row>
    <row r="3" spans="1:67" s="10" customFormat="1" ht="15.75" hidden="1" customHeight="1">
      <c r="A3" s="638"/>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639"/>
      <c r="AJ3" s="639"/>
      <c r="AK3" s="639"/>
      <c r="AL3" s="639"/>
      <c r="AM3" s="639"/>
      <c r="AN3" s="639"/>
      <c r="AO3" s="639"/>
      <c r="AP3" s="639"/>
      <c r="AQ3" s="639"/>
      <c r="AR3" s="639"/>
      <c r="AS3" s="639"/>
      <c r="AT3" s="639"/>
      <c r="AU3" s="639"/>
      <c r="AV3" s="639"/>
      <c r="AW3" s="639"/>
      <c r="AX3" s="639"/>
      <c r="AY3" s="639"/>
      <c r="AZ3" s="639"/>
      <c r="BA3" s="639"/>
      <c r="BB3" s="639"/>
      <c r="BC3" s="639"/>
      <c r="BD3" s="639"/>
      <c r="BE3" s="639"/>
      <c r="BF3" s="639"/>
      <c r="BG3" s="639"/>
      <c r="BH3" s="639"/>
      <c r="BI3" s="639"/>
      <c r="BJ3" s="639"/>
      <c r="BK3" s="639"/>
      <c r="BL3" s="639"/>
      <c r="BO3" s="605"/>
    </row>
    <row r="4" spans="1:67" s="10" customFormat="1" ht="15.95" hidden="1" customHeight="1">
      <c r="A4" s="640"/>
      <c r="B4" s="641"/>
      <c r="C4" s="641"/>
      <c r="D4" s="641"/>
      <c r="E4" s="641"/>
      <c r="F4" s="641"/>
      <c r="G4" s="641"/>
      <c r="H4" s="641"/>
      <c r="I4" s="641"/>
      <c r="J4" s="641"/>
      <c r="K4" s="641"/>
      <c r="L4" s="641"/>
      <c r="M4" s="641"/>
      <c r="N4" s="641"/>
      <c r="O4" s="641"/>
      <c r="P4" s="641"/>
      <c r="Q4" s="641"/>
      <c r="R4" s="641"/>
      <c r="S4" s="641"/>
      <c r="T4" s="641"/>
      <c r="U4" s="641"/>
      <c r="V4" s="641"/>
      <c r="W4" s="641"/>
      <c r="X4" s="641"/>
      <c r="Y4" s="641"/>
      <c r="Z4" s="641"/>
      <c r="AA4" s="641"/>
      <c r="AB4" s="641"/>
      <c r="AC4" s="641"/>
      <c r="AD4" s="641"/>
      <c r="AE4" s="641"/>
      <c r="AF4" s="641"/>
      <c r="AG4" s="641"/>
      <c r="AH4" s="641"/>
      <c r="AI4" s="641"/>
      <c r="AJ4" s="641"/>
      <c r="AK4" s="641"/>
      <c r="AL4" s="641"/>
      <c r="AM4" s="641"/>
      <c r="AN4" s="641"/>
      <c r="AO4" s="641"/>
      <c r="AP4" s="641"/>
      <c r="AQ4" s="641"/>
      <c r="AR4" s="641"/>
      <c r="AS4" s="641"/>
      <c r="AT4" s="641"/>
      <c r="AU4" s="641"/>
      <c r="AV4" s="641"/>
      <c r="AW4" s="641"/>
      <c r="AX4" s="641"/>
      <c r="AY4" s="641"/>
      <c r="AZ4" s="641"/>
      <c r="BA4" s="641"/>
      <c r="BB4" s="641"/>
      <c r="BC4" s="641"/>
      <c r="BD4" s="641"/>
      <c r="BE4" s="641"/>
      <c r="BF4" s="641"/>
      <c r="BG4" s="641"/>
      <c r="BH4" s="641"/>
      <c r="BI4" s="641"/>
      <c r="BJ4" s="641"/>
      <c r="BK4" s="641"/>
      <c r="BL4" s="641"/>
      <c r="BO4" s="605"/>
    </row>
    <row r="5" spans="1:67" s="10" customFormat="1" ht="15.75" hidden="1" customHeight="1">
      <c r="A5" s="638" t="s">
        <v>115</v>
      </c>
      <c r="B5" s="639"/>
      <c r="C5" s="639"/>
      <c r="D5" s="639"/>
      <c r="E5" s="639"/>
      <c r="F5" s="639"/>
      <c r="G5" s="639"/>
      <c r="H5" s="639"/>
      <c r="I5" s="639"/>
      <c r="J5" s="639"/>
      <c r="K5" s="639"/>
      <c r="L5" s="639"/>
      <c r="M5" s="639"/>
      <c r="N5" s="639"/>
      <c r="O5" s="639"/>
      <c r="P5" s="639"/>
      <c r="Q5" s="639"/>
      <c r="R5" s="639"/>
      <c r="S5" s="639"/>
      <c r="T5" s="639"/>
      <c r="U5" s="639"/>
      <c r="V5" s="639"/>
      <c r="W5" s="639"/>
      <c r="X5" s="639"/>
      <c r="Y5" s="639"/>
      <c r="Z5" s="639"/>
      <c r="AA5" s="639"/>
      <c r="AB5" s="639"/>
      <c r="AC5" s="639"/>
      <c r="AD5" s="639"/>
      <c r="AE5" s="639"/>
      <c r="AF5" s="639"/>
      <c r="AG5" s="639"/>
      <c r="AH5" s="639"/>
      <c r="AI5" s="639"/>
      <c r="AJ5" s="639"/>
      <c r="AK5" s="639"/>
      <c r="AL5" s="639"/>
      <c r="AM5" s="639"/>
      <c r="AN5" s="639"/>
      <c r="AO5" s="639"/>
      <c r="AP5" s="639"/>
      <c r="AQ5" s="639"/>
      <c r="AR5" s="639"/>
      <c r="AS5" s="639"/>
      <c r="AT5" s="639"/>
      <c r="AU5" s="639"/>
      <c r="AV5" s="639"/>
      <c r="AW5" s="639"/>
      <c r="AX5" s="639"/>
      <c r="AY5" s="639"/>
      <c r="AZ5" s="639"/>
      <c r="BA5" s="639"/>
      <c r="BB5" s="639"/>
      <c r="BC5" s="639"/>
      <c r="BD5" s="639"/>
      <c r="BE5" s="639"/>
      <c r="BF5" s="639"/>
      <c r="BG5" s="639"/>
      <c r="BH5" s="639"/>
      <c r="BI5" s="639"/>
      <c r="BJ5" s="639"/>
      <c r="BK5" s="639"/>
      <c r="BL5" s="639"/>
      <c r="BO5" s="605"/>
    </row>
    <row r="6" spans="1:67" hidden="1">
      <c r="A6" s="642"/>
      <c r="B6" s="642"/>
      <c r="C6" s="642"/>
      <c r="D6" s="642"/>
      <c r="E6" s="642"/>
      <c r="F6" s="642"/>
      <c r="G6" s="642"/>
      <c r="H6" s="642"/>
      <c r="I6" s="642"/>
      <c r="J6" s="642"/>
      <c r="K6" s="642"/>
      <c r="L6" s="11"/>
      <c r="M6" s="11"/>
      <c r="N6" s="11"/>
      <c r="O6" s="11"/>
      <c r="P6" s="11"/>
      <c r="Q6" s="11"/>
      <c r="R6" s="11"/>
      <c r="S6" s="11"/>
      <c r="T6" s="11"/>
      <c r="AD6" s="580">
        <f>SUBTOTAL(9,AD71:AD80)</f>
        <v>0</v>
      </c>
      <c r="AU6" s="4" t="e">
        <f>SUBTOTAL(9,#REF!)</f>
        <v>#REF!</v>
      </c>
      <c r="AV6" s="4" t="e">
        <f>SUBTOTAL(9,#REF!)</f>
        <v>#REF!</v>
      </c>
      <c r="AW6" s="4" t="e">
        <f>SUBTOTAL(9,#REF!)</f>
        <v>#REF!</v>
      </c>
      <c r="AX6" s="4" t="e">
        <f>SUBTOTAL(9,#REF!)</f>
        <v>#REF!</v>
      </c>
      <c r="AY6" s="4" t="e">
        <f>SUBTOTAL(9,#REF!)</f>
        <v>#REF!</v>
      </c>
      <c r="AZ6" s="4" t="e">
        <f>SUBTOTAL(9,#REF!)</f>
        <v>#REF!</v>
      </c>
      <c r="BA6" s="4" t="e">
        <f>SUBTOTAL(9,#REF!)</f>
        <v>#REF!</v>
      </c>
      <c r="BB6" s="4" t="e">
        <f>SUBTOTAL(9,#REF!)</f>
        <v>#REF!</v>
      </c>
      <c r="BC6" s="4" t="e">
        <f>SUBTOTAL(9,#REF!)</f>
        <v>#REF!</v>
      </c>
      <c r="BD6" s="4" t="e">
        <f>SUBTOTAL(9,#REF!)</f>
        <v>#REF!</v>
      </c>
      <c r="BE6" s="4" t="e">
        <f>SUBTOTAL(9,#REF!)</f>
        <v>#REF!</v>
      </c>
      <c r="BF6" s="4" t="e">
        <f>SUBTOTAL(9,#REF!)</f>
        <v>#REF!</v>
      </c>
      <c r="BG6" s="4" t="e">
        <f>SUBTOTAL(9,#REF!)</f>
        <v>#REF!</v>
      </c>
      <c r="BH6" s="4" t="e">
        <f>SUBTOTAL(9,#REF!)</f>
        <v>#REF!</v>
      </c>
      <c r="BI6" s="4" t="e">
        <f>SUBTOTAL(9,#REF!)</f>
        <v>#REF!</v>
      </c>
      <c r="BJ6" s="4" t="e">
        <f>SUBTOTAL(9,#REF!)</f>
        <v>#REF!</v>
      </c>
      <c r="BK6" s="4">
        <f t="shared" ref="BK6" si="0">SUBTOTAL(9,BK19:BK24)</f>
        <v>0</v>
      </c>
    </row>
    <row r="7" spans="1:67" ht="15.75" customHeight="1">
      <c r="A7" s="643" t="s">
        <v>56</v>
      </c>
      <c r="B7" s="643"/>
      <c r="C7" s="643"/>
      <c r="D7" s="643"/>
      <c r="E7" s="643"/>
      <c r="F7" s="643"/>
      <c r="G7" s="653" t="s">
        <v>116</v>
      </c>
      <c r="H7" s="654"/>
      <c r="I7" s="654"/>
      <c r="J7" s="654"/>
      <c r="K7" s="654"/>
      <c r="L7" s="655"/>
      <c r="M7" s="644" t="s">
        <v>57</v>
      </c>
      <c r="N7" s="644"/>
      <c r="O7" s="644"/>
      <c r="P7" s="645"/>
      <c r="Q7" s="646" t="s">
        <v>58</v>
      </c>
      <c r="R7" s="646"/>
      <c r="S7" s="646"/>
      <c r="T7" s="646"/>
      <c r="U7" s="646"/>
      <c r="V7" s="647" t="s">
        <v>59</v>
      </c>
      <c r="W7" s="647"/>
      <c r="X7" s="647"/>
      <c r="Y7" s="647"/>
      <c r="Z7" s="648" t="s">
        <v>60</v>
      </c>
      <c r="AA7" s="648"/>
      <c r="AB7" s="648"/>
      <c r="AC7" s="648"/>
      <c r="AD7" s="649" t="s">
        <v>84</v>
      </c>
      <c r="AE7" s="649"/>
      <c r="AF7" s="649"/>
      <c r="AG7" s="649"/>
      <c r="AH7" s="649"/>
      <c r="AI7" s="649"/>
      <c r="AJ7" s="649"/>
      <c r="AK7" s="649"/>
      <c r="AL7" s="649"/>
      <c r="AM7" s="649"/>
      <c r="AN7" s="649"/>
      <c r="AO7" s="649"/>
      <c r="AP7" s="649"/>
      <c r="AQ7" s="649"/>
      <c r="AR7" s="649"/>
      <c r="AS7" s="649"/>
      <c r="AT7" s="650"/>
      <c r="AU7" s="659" t="s">
        <v>109</v>
      </c>
      <c r="AV7" s="660"/>
      <c r="AW7" s="660"/>
      <c r="AX7" s="660"/>
      <c r="AY7" s="660"/>
      <c r="AZ7" s="660"/>
      <c r="BA7" s="660"/>
      <c r="BB7" s="660"/>
      <c r="BC7" s="660"/>
      <c r="BD7" s="660"/>
      <c r="BE7" s="660"/>
      <c r="BF7" s="660"/>
      <c r="BG7" s="660"/>
      <c r="BH7" s="660"/>
      <c r="BI7" s="660"/>
      <c r="BJ7" s="660"/>
      <c r="BK7" s="661"/>
      <c r="BL7" s="648" t="s">
        <v>61</v>
      </c>
      <c r="BM7" s="634" t="s">
        <v>110</v>
      </c>
    </row>
    <row r="8" spans="1:67" s="12" customFormat="1" ht="41.25" customHeight="1">
      <c r="A8" s="643"/>
      <c r="B8" s="643"/>
      <c r="C8" s="643"/>
      <c r="D8" s="643"/>
      <c r="E8" s="643"/>
      <c r="F8" s="643"/>
      <c r="G8" s="656"/>
      <c r="H8" s="657"/>
      <c r="I8" s="657"/>
      <c r="J8" s="657"/>
      <c r="K8" s="657"/>
      <c r="L8" s="658"/>
      <c r="M8" s="644"/>
      <c r="N8" s="644"/>
      <c r="O8" s="644"/>
      <c r="P8" s="645"/>
      <c r="Q8" s="646"/>
      <c r="R8" s="646"/>
      <c r="S8" s="646"/>
      <c r="T8" s="646"/>
      <c r="U8" s="646"/>
      <c r="V8" s="647"/>
      <c r="W8" s="647"/>
      <c r="X8" s="647"/>
      <c r="Y8" s="647"/>
      <c r="Z8" s="648"/>
      <c r="AA8" s="648"/>
      <c r="AB8" s="648"/>
      <c r="AC8" s="648"/>
      <c r="AD8" s="651"/>
      <c r="AE8" s="651"/>
      <c r="AF8" s="651"/>
      <c r="AG8" s="651"/>
      <c r="AH8" s="651"/>
      <c r="AI8" s="651"/>
      <c r="AJ8" s="651"/>
      <c r="AK8" s="651"/>
      <c r="AL8" s="651"/>
      <c r="AM8" s="651"/>
      <c r="AN8" s="651"/>
      <c r="AO8" s="651"/>
      <c r="AP8" s="651"/>
      <c r="AQ8" s="651"/>
      <c r="AR8" s="651"/>
      <c r="AS8" s="651"/>
      <c r="AT8" s="652"/>
      <c r="AU8" s="662"/>
      <c r="AV8" s="663"/>
      <c r="AW8" s="663"/>
      <c r="AX8" s="663"/>
      <c r="AY8" s="663"/>
      <c r="AZ8" s="663"/>
      <c r="BA8" s="663"/>
      <c r="BB8" s="663"/>
      <c r="BC8" s="663"/>
      <c r="BD8" s="663"/>
      <c r="BE8" s="663"/>
      <c r="BF8" s="663"/>
      <c r="BG8" s="663"/>
      <c r="BH8" s="663"/>
      <c r="BI8" s="663"/>
      <c r="BJ8" s="663"/>
      <c r="BK8" s="664"/>
      <c r="BL8" s="648"/>
      <c r="BM8" s="634"/>
    </row>
    <row r="9" spans="1:67" s="12" customFormat="1" ht="96" customHeight="1">
      <c r="A9" s="13" t="s">
        <v>0</v>
      </c>
      <c r="B9" s="13" t="s">
        <v>62</v>
      </c>
      <c r="C9" s="13" t="s">
        <v>63</v>
      </c>
      <c r="D9" s="13" t="s">
        <v>64</v>
      </c>
      <c r="E9" s="14" t="s">
        <v>65</v>
      </c>
      <c r="F9" s="14" t="s">
        <v>66</v>
      </c>
      <c r="G9" s="15" t="s">
        <v>67</v>
      </c>
      <c r="H9" s="15" t="s">
        <v>68</v>
      </c>
      <c r="I9" s="15" t="s">
        <v>69</v>
      </c>
      <c r="J9" s="15" t="s">
        <v>89</v>
      </c>
      <c r="K9" s="15" t="s">
        <v>90</v>
      </c>
      <c r="L9" s="15" t="s">
        <v>108</v>
      </c>
      <c r="M9" s="16" t="s">
        <v>70</v>
      </c>
      <c r="N9" s="16" t="s">
        <v>71</v>
      </c>
      <c r="O9" s="16" t="s">
        <v>72</v>
      </c>
      <c r="P9" s="73" t="s">
        <v>73</v>
      </c>
      <c r="Q9" s="17" t="s">
        <v>74</v>
      </c>
      <c r="R9" s="18" t="s">
        <v>75</v>
      </c>
      <c r="S9" s="18" t="s">
        <v>76</v>
      </c>
      <c r="T9" s="19" t="s">
        <v>77</v>
      </c>
      <c r="U9" s="19" t="s">
        <v>78</v>
      </c>
      <c r="V9" s="20" t="s">
        <v>79</v>
      </c>
      <c r="W9" s="20" t="s">
        <v>80</v>
      </c>
      <c r="X9" s="20" t="s">
        <v>81</v>
      </c>
      <c r="Y9" s="20" t="s">
        <v>82</v>
      </c>
      <c r="Z9" s="21" t="s">
        <v>1</v>
      </c>
      <c r="AA9" s="21" t="s">
        <v>2</v>
      </c>
      <c r="AB9" s="21" t="s">
        <v>3</v>
      </c>
      <c r="AC9" s="21" t="s">
        <v>4</v>
      </c>
      <c r="AD9" s="581" t="s">
        <v>1170</v>
      </c>
      <c r="AE9" s="581" t="s">
        <v>92</v>
      </c>
      <c r="AF9" s="581" t="s">
        <v>1171</v>
      </c>
      <c r="AG9" s="581" t="s">
        <v>94</v>
      </c>
      <c r="AH9" s="581" t="s">
        <v>95</v>
      </c>
      <c r="AI9" s="581" t="s">
        <v>96</v>
      </c>
      <c r="AJ9" s="616" t="s">
        <v>1172</v>
      </c>
      <c r="AK9" s="581" t="s">
        <v>288</v>
      </c>
      <c r="AL9" s="581" t="s">
        <v>99</v>
      </c>
      <c r="AM9" s="581" t="s">
        <v>100</v>
      </c>
      <c r="AN9" s="581" t="s">
        <v>101</v>
      </c>
      <c r="AO9" s="581" t="s">
        <v>102</v>
      </c>
      <c r="AP9" s="581" t="s">
        <v>1173</v>
      </c>
      <c r="AQ9" s="581" t="s">
        <v>1174</v>
      </c>
      <c r="AR9" s="581" t="s">
        <v>105</v>
      </c>
      <c r="AS9" s="581" t="s">
        <v>301</v>
      </c>
      <c r="AT9" s="581" t="s">
        <v>1175</v>
      </c>
      <c r="AU9" s="45" t="s">
        <v>91</v>
      </c>
      <c r="AV9" s="45" t="s">
        <v>92</v>
      </c>
      <c r="AW9" s="45" t="s">
        <v>93</v>
      </c>
      <c r="AX9" s="45" t="s">
        <v>94</v>
      </c>
      <c r="AY9" s="45" t="s">
        <v>95</v>
      </c>
      <c r="AZ9" s="45" t="s">
        <v>96</v>
      </c>
      <c r="BA9" s="45" t="s">
        <v>97</v>
      </c>
      <c r="BB9" s="45" t="s">
        <v>98</v>
      </c>
      <c r="BC9" s="45" t="s">
        <v>99</v>
      </c>
      <c r="BD9" s="45" t="s">
        <v>100</v>
      </c>
      <c r="BE9" s="45" t="s">
        <v>101</v>
      </c>
      <c r="BF9" s="45" t="s">
        <v>102</v>
      </c>
      <c r="BG9" s="45" t="s">
        <v>103</v>
      </c>
      <c r="BH9" s="45" t="s">
        <v>104</v>
      </c>
      <c r="BI9" s="45" t="s">
        <v>105</v>
      </c>
      <c r="BJ9" s="45" t="s">
        <v>106</v>
      </c>
      <c r="BK9" s="45" t="s">
        <v>107</v>
      </c>
      <c r="BL9" s="22" t="s">
        <v>83</v>
      </c>
      <c r="BM9" s="634"/>
    </row>
    <row r="10" spans="1:67" s="65" customFormat="1" ht="140.25">
      <c r="A10" s="28" t="s">
        <v>6</v>
      </c>
      <c r="B10" s="28" t="s">
        <v>10</v>
      </c>
      <c r="C10" s="28" t="s">
        <v>11</v>
      </c>
      <c r="D10" s="34">
        <v>19</v>
      </c>
      <c r="E10" s="35" t="s">
        <v>12</v>
      </c>
      <c r="F10" s="34">
        <v>1906</v>
      </c>
      <c r="G10" s="28" t="s">
        <v>13</v>
      </c>
      <c r="H10" s="27">
        <v>1906004</v>
      </c>
      <c r="I10" s="28" t="s">
        <v>14</v>
      </c>
      <c r="J10" s="27">
        <v>190600400</v>
      </c>
      <c r="K10" s="44">
        <v>65890</v>
      </c>
      <c r="L10" s="44">
        <v>65890</v>
      </c>
      <c r="M10" s="27" t="s">
        <v>123</v>
      </c>
      <c r="N10" s="27"/>
      <c r="O10" s="1"/>
      <c r="P10" s="74">
        <f>BK10</f>
        <v>0</v>
      </c>
      <c r="Q10" s="30" t="s">
        <v>120</v>
      </c>
      <c r="R10" s="30">
        <v>12</v>
      </c>
      <c r="S10" s="30" t="s">
        <v>118</v>
      </c>
      <c r="T10" s="30" t="s">
        <v>121</v>
      </c>
      <c r="U10" s="30" t="s">
        <v>122</v>
      </c>
      <c r="V10" s="28"/>
      <c r="W10" s="28"/>
      <c r="X10" s="28"/>
      <c r="Y10" s="28"/>
      <c r="Z10" s="1">
        <v>3</v>
      </c>
      <c r="AA10" s="1">
        <v>3</v>
      </c>
      <c r="AB10" s="1">
        <v>3</v>
      </c>
      <c r="AC10" s="1">
        <v>3</v>
      </c>
      <c r="AD10" s="582"/>
      <c r="AE10" s="590">
        <f>32944646167.25</f>
        <v>32944646167.25</v>
      </c>
      <c r="AG10" s="582">
        <v>0</v>
      </c>
      <c r="AH10" s="582">
        <v>0</v>
      </c>
      <c r="AI10" s="582">
        <v>0</v>
      </c>
      <c r="AJ10" s="582"/>
      <c r="AK10" s="582"/>
      <c r="AL10" s="582"/>
      <c r="AM10" s="582"/>
      <c r="AN10" s="582"/>
      <c r="AO10" s="582"/>
      <c r="AP10" s="591"/>
      <c r="AQ10" s="591"/>
      <c r="AR10" s="592"/>
      <c r="AS10" s="582"/>
      <c r="AT10" s="593">
        <f t="shared" ref="AT10:AT80" si="1">AS10+AR10+AQ10+AP10+AO10+AN10+AM10+AL10+AK10+AJ10+AI10+AH10+AG10+AF10+AE10+AD10</f>
        <v>32944646167.25</v>
      </c>
      <c r="AU10" s="52"/>
      <c r="AV10" s="52"/>
      <c r="AW10" s="52"/>
      <c r="AX10" s="52"/>
      <c r="AY10" s="52"/>
      <c r="AZ10" s="52"/>
      <c r="BA10" s="52"/>
      <c r="BB10" s="52"/>
      <c r="BC10" s="52"/>
      <c r="BD10" s="52"/>
      <c r="BE10" s="52"/>
      <c r="BF10" s="52"/>
      <c r="BG10" s="52"/>
      <c r="BH10" s="52"/>
      <c r="BI10" s="52"/>
      <c r="BJ10" s="52"/>
      <c r="BK10" s="57"/>
      <c r="BL10" s="27" t="s">
        <v>85</v>
      </c>
      <c r="BM10" s="27"/>
      <c r="BO10" s="50"/>
    </row>
    <row r="11" spans="1:67" s="38" customFormat="1" ht="140.25">
      <c r="A11" s="28" t="s">
        <v>6</v>
      </c>
      <c r="B11" s="26" t="s">
        <v>10</v>
      </c>
      <c r="C11" s="28" t="s">
        <v>11</v>
      </c>
      <c r="D11" s="34">
        <v>19</v>
      </c>
      <c r="E11" s="35" t="s">
        <v>12</v>
      </c>
      <c r="F11" s="34">
        <v>1906</v>
      </c>
      <c r="G11" s="28" t="s">
        <v>13</v>
      </c>
      <c r="H11" s="27">
        <v>1906004</v>
      </c>
      <c r="I11" s="28" t="s">
        <v>14</v>
      </c>
      <c r="J11" s="27">
        <v>190600400</v>
      </c>
      <c r="K11" s="44">
        <v>65890</v>
      </c>
      <c r="L11" s="1" t="s">
        <v>113</v>
      </c>
      <c r="M11" s="27" t="s">
        <v>123</v>
      </c>
      <c r="N11" s="27"/>
      <c r="O11" s="1"/>
      <c r="P11" s="74">
        <f t="shared" ref="P11:P50" si="2">BK11</f>
        <v>0</v>
      </c>
      <c r="Q11" s="30" t="s">
        <v>120</v>
      </c>
      <c r="R11" s="30">
        <v>12</v>
      </c>
      <c r="S11" s="30" t="s">
        <v>118</v>
      </c>
      <c r="T11" s="30" t="s">
        <v>121</v>
      </c>
      <c r="U11" s="30" t="s">
        <v>122</v>
      </c>
      <c r="V11" s="1">
        <v>3</v>
      </c>
      <c r="W11" s="1">
        <v>3</v>
      </c>
      <c r="X11" s="1">
        <v>3</v>
      </c>
      <c r="Y11" s="1">
        <v>3</v>
      </c>
      <c r="Z11" s="1">
        <v>3</v>
      </c>
      <c r="AA11" s="1">
        <v>3</v>
      </c>
      <c r="AB11" s="1">
        <v>3</v>
      </c>
      <c r="AC11" s="1">
        <v>3</v>
      </c>
      <c r="AD11" s="582"/>
      <c r="AE11" s="582">
        <v>0</v>
      </c>
      <c r="AF11" s="582"/>
      <c r="AG11" s="582"/>
      <c r="AH11" s="582"/>
      <c r="AI11" s="582"/>
      <c r="AJ11" s="582"/>
      <c r="AK11" s="582"/>
      <c r="AL11" s="582"/>
      <c r="AM11" s="582"/>
      <c r="AN11" s="582"/>
      <c r="AO11" s="582"/>
      <c r="AP11" s="582"/>
      <c r="AQ11" s="591">
        <v>64693848545.529999</v>
      </c>
      <c r="AR11" s="582">
        <v>0</v>
      </c>
      <c r="AS11" s="582"/>
      <c r="AT11" s="593">
        <f>AS11+AR11+AQ11+AP11+AO11+AN11+AM11+AL11+AK11+AJ11+AI11+AH11+AG11+AF11+AE11+AD11</f>
        <v>64693848545.529999</v>
      </c>
      <c r="AU11" s="36"/>
      <c r="AV11" s="36"/>
      <c r="AW11" s="36"/>
      <c r="AX11" s="36"/>
      <c r="AY11" s="36"/>
      <c r="AZ11" s="36"/>
      <c r="BA11" s="36"/>
      <c r="BB11" s="36"/>
      <c r="BC11" s="36"/>
      <c r="BD11" s="36"/>
      <c r="BE11" s="36"/>
      <c r="BF11" s="36"/>
      <c r="BG11" s="36"/>
      <c r="BH11" s="36"/>
      <c r="BI11" s="36"/>
      <c r="BJ11" s="36"/>
      <c r="BK11" s="57"/>
      <c r="BL11" s="26" t="s">
        <v>85</v>
      </c>
      <c r="BM11" s="27"/>
      <c r="BO11" s="606"/>
    </row>
    <row r="12" spans="1:67" s="38" customFormat="1" ht="228" customHeight="1">
      <c r="A12" s="28" t="s">
        <v>6</v>
      </c>
      <c r="B12" s="26" t="s">
        <v>10</v>
      </c>
      <c r="C12" s="28" t="s">
        <v>11</v>
      </c>
      <c r="D12" s="34">
        <v>19</v>
      </c>
      <c r="E12" s="35" t="s">
        <v>12</v>
      </c>
      <c r="F12" s="34">
        <v>1906</v>
      </c>
      <c r="G12" s="28" t="s">
        <v>13</v>
      </c>
      <c r="H12" s="27">
        <v>1906004</v>
      </c>
      <c r="I12" s="28" t="s">
        <v>14</v>
      </c>
      <c r="J12" s="27">
        <v>190600400</v>
      </c>
      <c r="K12" s="44">
        <v>65890</v>
      </c>
      <c r="L12" s="44">
        <v>65890</v>
      </c>
      <c r="M12" s="27" t="s">
        <v>123</v>
      </c>
      <c r="N12" s="27"/>
      <c r="O12" s="1"/>
      <c r="P12" s="74">
        <f t="shared" si="2"/>
        <v>0</v>
      </c>
      <c r="Q12" s="30" t="s">
        <v>120</v>
      </c>
      <c r="R12" s="30">
        <v>12</v>
      </c>
      <c r="S12" s="30" t="s">
        <v>118</v>
      </c>
      <c r="T12" s="30" t="s">
        <v>121</v>
      </c>
      <c r="U12" s="30" t="s">
        <v>122</v>
      </c>
      <c r="V12" s="1">
        <v>3</v>
      </c>
      <c r="W12" s="1">
        <v>3</v>
      </c>
      <c r="X12" s="1">
        <v>3</v>
      </c>
      <c r="Y12" s="1">
        <v>3</v>
      </c>
      <c r="Z12" s="1">
        <v>3</v>
      </c>
      <c r="AA12" s="1">
        <v>3</v>
      </c>
      <c r="AB12" s="1">
        <v>3</v>
      </c>
      <c r="AC12" s="1">
        <v>3</v>
      </c>
      <c r="AD12" s="582"/>
      <c r="AE12" s="582">
        <v>0</v>
      </c>
      <c r="AF12" s="582"/>
      <c r="AG12" s="582"/>
      <c r="AH12" s="582"/>
      <c r="AI12" s="582"/>
      <c r="AJ12" s="582"/>
      <c r="AK12" s="582"/>
      <c r="AL12" s="582">
        <v>0</v>
      </c>
      <c r="AM12" s="582">
        <v>0</v>
      </c>
      <c r="AN12" s="582">
        <v>0</v>
      </c>
      <c r="AO12" s="582">
        <v>0</v>
      </c>
      <c r="AP12" s="598"/>
      <c r="AQ12" s="594">
        <v>1432858105.4431</v>
      </c>
      <c r="AR12" s="593">
        <v>0</v>
      </c>
      <c r="AS12" s="593"/>
      <c r="AT12" s="593">
        <f>AS12+AR12+AQ12+AP12+AO12+AN12+AM12+AL12+AK12+AJ12+AI12+AH12+AG12+AF12+AE12+AD12</f>
        <v>1432858105.4431</v>
      </c>
      <c r="AU12" s="36"/>
      <c r="AV12" s="36"/>
      <c r="AW12" s="36"/>
      <c r="AX12" s="36"/>
      <c r="AY12" s="36"/>
      <c r="AZ12" s="36"/>
      <c r="BA12" s="36"/>
      <c r="BB12" s="36"/>
      <c r="BC12" s="36"/>
      <c r="BD12" s="36"/>
      <c r="BE12" s="36"/>
      <c r="BF12" s="36"/>
      <c r="BG12" s="1"/>
      <c r="BH12" s="57"/>
      <c r="BI12" s="57"/>
      <c r="BJ12" s="57"/>
      <c r="BK12" s="57"/>
      <c r="BL12" s="26" t="s">
        <v>85</v>
      </c>
      <c r="BM12" s="27"/>
      <c r="BO12" s="606"/>
    </row>
    <row r="13" spans="1:67" s="38" customFormat="1" ht="140.25">
      <c r="A13" s="28" t="s">
        <v>6</v>
      </c>
      <c r="B13" s="26" t="s">
        <v>10</v>
      </c>
      <c r="C13" s="28" t="s">
        <v>11</v>
      </c>
      <c r="D13" s="34">
        <v>19</v>
      </c>
      <c r="E13" s="35" t="s">
        <v>12</v>
      </c>
      <c r="F13" s="34">
        <v>1906</v>
      </c>
      <c r="G13" s="28" t="s">
        <v>13</v>
      </c>
      <c r="H13" s="27">
        <v>1906004</v>
      </c>
      <c r="I13" s="28" t="s">
        <v>14</v>
      </c>
      <c r="J13" s="27">
        <v>190600400</v>
      </c>
      <c r="K13" s="44">
        <v>100</v>
      </c>
      <c r="L13" s="1" t="s">
        <v>113</v>
      </c>
      <c r="M13" s="27" t="s">
        <v>123</v>
      </c>
      <c r="N13" s="27"/>
      <c r="O13" s="1"/>
      <c r="P13" s="74">
        <f t="shared" si="2"/>
        <v>0</v>
      </c>
      <c r="Q13" s="30" t="s">
        <v>120</v>
      </c>
      <c r="R13" s="30">
        <v>12</v>
      </c>
      <c r="S13" s="30" t="s">
        <v>118</v>
      </c>
      <c r="T13" s="30" t="s">
        <v>121</v>
      </c>
      <c r="U13" s="30" t="s">
        <v>122</v>
      </c>
      <c r="V13" s="1">
        <v>3</v>
      </c>
      <c r="W13" s="1">
        <v>3</v>
      </c>
      <c r="X13" s="1">
        <v>3</v>
      </c>
      <c r="Y13" s="1">
        <v>3</v>
      </c>
      <c r="Z13" s="1">
        <v>3</v>
      </c>
      <c r="AA13" s="1">
        <v>3</v>
      </c>
      <c r="AB13" s="1">
        <v>3</v>
      </c>
      <c r="AC13" s="1">
        <v>3</v>
      </c>
      <c r="AD13" s="582"/>
      <c r="AE13" s="582">
        <v>0</v>
      </c>
      <c r="AF13" s="582"/>
      <c r="AG13" s="582"/>
      <c r="AH13" s="582"/>
      <c r="AI13" s="582"/>
      <c r="AJ13" s="582"/>
      <c r="AK13" s="582"/>
      <c r="AL13" s="582">
        <v>0</v>
      </c>
      <c r="AM13" s="582">
        <v>0</v>
      </c>
      <c r="AN13" s="582">
        <v>0</v>
      </c>
      <c r="AO13" s="582">
        <v>0</v>
      </c>
      <c r="AP13" s="624">
        <v>22324284376.82</v>
      </c>
      <c r="AQ13" s="598"/>
      <c r="AR13" s="582">
        <v>0</v>
      </c>
      <c r="AS13" s="589"/>
      <c r="AT13" s="593">
        <f t="shared" si="1"/>
        <v>22324284376.82</v>
      </c>
      <c r="AU13" s="36"/>
      <c r="AV13" s="36"/>
      <c r="AW13" s="36"/>
      <c r="AX13" s="36"/>
      <c r="AY13" s="36"/>
      <c r="AZ13" s="36"/>
      <c r="BA13" s="36"/>
      <c r="BB13" s="36"/>
      <c r="BC13" s="36"/>
      <c r="BD13" s="36"/>
      <c r="BE13" s="36"/>
      <c r="BF13" s="36"/>
      <c r="BG13" s="36"/>
      <c r="BH13" s="36"/>
      <c r="BI13" s="36"/>
      <c r="BJ13" s="36"/>
      <c r="BK13" s="57"/>
      <c r="BL13" s="26" t="s">
        <v>85</v>
      </c>
      <c r="BM13" s="27"/>
      <c r="BO13" s="606"/>
    </row>
    <row r="14" spans="1:67" s="38" customFormat="1" ht="127.5">
      <c r="A14" s="28" t="s">
        <v>6</v>
      </c>
      <c r="B14" s="26" t="s">
        <v>10</v>
      </c>
      <c r="C14" s="28" t="s">
        <v>11</v>
      </c>
      <c r="D14" s="34">
        <v>19</v>
      </c>
      <c r="E14" s="35" t="s">
        <v>12</v>
      </c>
      <c r="F14" s="34">
        <v>1906</v>
      </c>
      <c r="G14" s="28" t="s">
        <v>13</v>
      </c>
      <c r="H14" s="27">
        <v>1906004</v>
      </c>
      <c r="I14" s="28" t="s">
        <v>14</v>
      </c>
      <c r="J14" s="27">
        <v>190600400</v>
      </c>
      <c r="K14" s="258">
        <v>100</v>
      </c>
      <c r="L14" s="1" t="s">
        <v>113</v>
      </c>
      <c r="M14" s="27" t="s">
        <v>123</v>
      </c>
      <c r="N14" s="27"/>
      <c r="O14" s="1"/>
      <c r="P14" s="74">
        <f t="shared" ref="P14" si="3">BK14</f>
        <v>0</v>
      </c>
      <c r="Q14" s="627" t="s">
        <v>713</v>
      </c>
      <c r="R14" s="30">
        <v>12</v>
      </c>
      <c r="S14" s="30" t="s">
        <v>118</v>
      </c>
      <c r="T14" s="30" t="s">
        <v>121</v>
      </c>
      <c r="U14" s="30" t="s">
        <v>122</v>
      </c>
      <c r="V14" s="1">
        <v>3</v>
      </c>
      <c r="W14" s="1">
        <v>3</v>
      </c>
      <c r="X14" s="1">
        <v>3</v>
      </c>
      <c r="Y14" s="1">
        <v>3</v>
      </c>
      <c r="Z14" s="1">
        <v>3</v>
      </c>
      <c r="AA14" s="1">
        <v>3</v>
      </c>
      <c r="AB14" s="1">
        <v>3</v>
      </c>
      <c r="AC14" s="1">
        <v>3</v>
      </c>
      <c r="AD14" s="582"/>
      <c r="AE14" s="582">
        <v>0</v>
      </c>
      <c r="AF14" s="582"/>
      <c r="AG14" s="582"/>
      <c r="AH14" s="582"/>
      <c r="AI14" s="582"/>
      <c r="AJ14" s="582"/>
      <c r="AK14" s="582"/>
      <c r="AL14" s="582">
        <v>0</v>
      </c>
      <c r="AM14" s="582">
        <v>0</v>
      </c>
      <c r="AN14" s="582">
        <v>0</v>
      </c>
      <c r="AO14" s="582">
        <v>0</v>
      </c>
      <c r="AP14" s="582"/>
      <c r="AQ14" s="598"/>
      <c r="AR14" s="582">
        <v>0</v>
      </c>
      <c r="AS14" s="568">
        <v>421210896.68000001</v>
      </c>
      <c r="AT14" s="593">
        <f t="shared" si="1"/>
        <v>421210896.68000001</v>
      </c>
      <c r="AU14" s="36"/>
      <c r="AV14" s="36"/>
      <c r="AW14" s="36"/>
      <c r="AX14" s="36"/>
      <c r="AY14" s="36"/>
      <c r="AZ14" s="36"/>
      <c r="BA14" s="36"/>
      <c r="BB14" s="36"/>
      <c r="BC14" s="36"/>
      <c r="BD14" s="36"/>
      <c r="BE14" s="36"/>
      <c r="BF14" s="36"/>
      <c r="BG14" s="36"/>
      <c r="BH14" s="36"/>
      <c r="BI14" s="36"/>
      <c r="BJ14" s="36"/>
      <c r="BK14" s="57"/>
      <c r="BL14" s="26" t="s">
        <v>85</v>
      </c>
      <c r="BM14" s="27"/>
      <c r="BO14" s="606"/>
    </row>
    <row r="15" spans="1:67" s="38" customFormat="1" ht="127.5">
      <c r="A15" s="28" t="s">
        <v>6</v>
      </c>
      <c r="B15" s="26" t="s">
        <v>10</v>
      </c>
      <c r="C15" s="28" t="s">
        <v>11</v>
      </c>
      <c r="D15" s="34">
        <v>19</v>
      </c>
      <c r="E15" s="35" t="s">
        <v>12</v>
      </c>
      <c r="F15" s="34">
        <v>1906</v>
      </c>
      <c r="G15" s="28" t="s">
        <v>13</v>
      </c>
      <c r="H15" s="27">
        <v>1906004</v>
      </c>
      <c r="I15" s="28" t="s">
        <v>14</v>
      </c>
      <c r="J15" s="27">
        <v>190600400</v>
      </c>
      <c r="K15" s="258">
        <v>100</v>
      </c>
      <c r="L15" s="1" t="s">
        <v>113</v>
      </c>
      <c r="M15" s="27" t="s">
        <v>1182</v>
      </c>
      <c r="N15" s="27"/>
      <c r="O15" s="1"/>
      <c r="P15" s="74">
        <f t="shared" ref="P15" si="4">BK15</f>
        <v>0</v>
      </c>
      <c r="Q15" s="627" t="s">
        <v>1187</v>
      </c>
      <c r="R15" s="30">
        <v>3</v>
      </c>
      <c r="S15" s="30" t="s">
        <v>118</v>
      </c>
      <c r="T15" s="30" t="s">
        <v>121</v>
      </c>
      <c r="U15" s="30" t="s">
        <v>122</v>
      </c>
      <c r="V15" s="1">
        <v>3</v>
      </c>
      <c r="W15" s="1">
        <v>3</v>
      </c>
      <c r="X15" s="1">
        <v>3</v>
      </c>
      <c r="Y15" s="1">
        <v>3</v>
      </c>
      <c r="Z15" s="1">
        <v>0</v>
      </c>
      <c r="AA15" s="1">
        <v>1</v>
      </c>
      <c r="AB15" s="1">
        <v>1</v>
      </c>
      <c r="AC15" s="1">
        <v>1</v>
      </c>
      <c r="AD15" s="582"/>
      <c r="AE15" s="582">
        <v>0</v>
      </c>
      <c r="AF15" s="582"/>
      <c r="AG15" s="582"/>
      <c r="AH15" s="582"/>
      <c r="AI15" s="582"/>
      <c r="AJ15" s="582"/>
      <c r="AK15" s="582"/>
      <c r="AL15" s="582">
        <v>0</v>
      </c>
      <c r="AM15" s="582">
        <v>0</v>
      </c>
      <c r="AN15" s="582">
        <v>0</v>
      </c>
      <c r="AO15" s="582">
        <v>0</v>
      </c>
      <c r="AP15" s="582"/>
      <c r="AQ15" s="618">
        <v>19073055.59</v>
      </c>
      <c r="AR15" s="582">
        <v>0</v>
      </c>
      <c r="AS15" s="568"/>
      <c r="AT15" s="593">
        <f>AS15+AR15+AQ15+AP15+AO15+AN15+AM15+AL15+AK15+AJ15+AI15+AH15+AG15+AF15+AE15+AD15</f>
        <v>19073055.59</v>
      </c>
      <c r="AU15" s="36"/>
      <c r="AV15" s="36"/>
      <c r="AW15" s="36"/>
      <c r="AX15" s="36"/>
      <c r="AY15" s="36"/>
      <c r="AZ15" s="36"/>
      <c r="BA15" s="36"/>
      <c r="BB15" s="36"/>
      <c r="BC15" s="36"/>
      <c r="BD15" s="36"/>
      <c r="BE15" s="36"/>
      <c r="BF15" s="36"/>
      <c r="BG15" s="36"/>
      <c r="BH15" s="36"/>
      <c r="BI15" s="36"/>
      <c r="BJ15" s="36"/>
      <c r="BK15" s="57"/>
      <c r="BL15" s="26" t="s">
        <v>85</v>
      </c>
      <c r="BM15" s="27"/>
      <c r="BO15" s="606"/>
    </row>
    <row r="16" spans="1:67" s="38" customFormat="1" ht="63.75">
      <c r="A16" s="28" t="s">
        <v>6</v>
      </c>
      <c r="B16" s="26" t="s">
        <v>16</v>
      </c>
      <c r="C16" s="28" t="s">
        <v>11</v>
      </c>
      <c r="D16" s="34">
        <v>19</v>
      </c>
      <c r="E16" s="35" t="s">
        <v>12</v>
      </c>
      <c r="F16" s="34">
        <v>1906</v>
      </c>
      <c r="G16" s="28" t="s">
        <v>13</v>
      </c>
      <c r="H16" s="27">
        <v>1906004</v>
      </c>
      <c r="I16" s="28" t="s">
        <v>17</v>
      </c>
      <c r="J16" s="27">
        <v>190600401</v>
      </c>
      <c r="K16" s="1">
        <v>500</v>
      </c>
      <c r="L16" s="1" t="s">
        <v>113</v>
      </c>
      <c r="M16" s="27" t="s">
        <v>124</v>
      </c>
      <c r="N16" s="27"/>
      <c r="O16" s="1"/>
      <c r="P16" s="74">
        <f>BK16</f>
        <v>0</v>
      </c>
      <c r="Q16" s="30" t="s">
        <v>1188</v>
      </c>
      <c r="R16" s="1">
        <v>1</v>
      </c>
      <c r="S16" s="1" t="s">
        <v>118</v>
      </c>
      <c r="T16" s="27" t="s">
        <v>117</v>
      </c>
      <c r="U16" s="27" t="s">
        <v>119</v>
      </c>
      <c r="V16" s="28"/>
      <c r="W16" s="28"/>
      <c r="X16" s="28"/>
      <c r="Y16" s="28"/>
      <c r="Z16" s="1">
        <v>0</v>
      </c>
      <c r="AA16" s="1">
        <v>1</v>
      </c>
      <c r="AB16" s="1">
        <v>0</v>
      </c>
      <c r="AC16" s="1">
        <v>0</v>
      </c>
      <c r="AD16" s="582"/>
      <c r="AE16" s="582">
        <v>0</v>
      </c>
      <c r="AF16" s="582"/>
      <c r="AG16" s="582"/>
      <c r="AH16" s="582"/>
      <c r="AI16" s="582"/>
      <c r="AJ16" s="582"/>
      <c r="AK16" s="582"/>
      <c r="AL16" s="582"/>
      <c r="AM16" s="582"/>
      <c r="AN16" s="582"/>
      <c r="AO16" s="582"/>
      <c r="AP16" s="582"/>
      <c r="AQ16" s="619">
        <v>3604848</v>
      </c>
      <c r="AR16" s="597">
        <v>0</v>
      </c>
      <c r="AS16" s="595"/>
      <c r="AT16" s="593">
        <f t="shared" si="1"/>
        <v>3604848</v>
      </c>
      <c r="AU16" s="36"/>
      <c r="AV16" s="36"/>
      <c r="AW16" s="36"/>
      <c r="AX16" s="36"/>
      <c r="AY16" s="36"/>
      <c r="AZ16" s="36"/>
      <c r="BA16" s="36"/>
      <c r="BB16" s="36"/>
      <c r="BC16" s="36"/>
      <c r="BD16" s="36"/>
      <c r="BE16" s="36"/>
      <c r="BF16" s="36"/>
      <c r="BG16" s="36"/>
      <c r="BH16" s="36"/>
      <c r="BI16" s="36"/>
      <c r="BJ16" s="36"/>
      <c r="BK16" s="57"/>
      <c r="BL16" s="26" t="s">
        <v>85</v>
      </c>
      <c r="BM16" s="27"/>
      <c r="BO16" s="606"/>
    </row>
    <row r="17" spans="1:67" s="38" customFormat="1" ht="51">
      <c r="A17" s="28" t="s">
        <v>6</v>
      </c>
      <c r="B17" s="26" t="s">
        <v>16</v>
      </c>
      <c r="C17" s="28" t="s">
        <v>11</v>
      </c>
      <c r="D17" s="34">
        <v>19</v>
      </c>
      <c r="E17" s="35" t="s">
        <v>12</v>
      </c>
      <c r="F17" s="34">
        <v>1906</v>
      </c>
      <c r="G17" s="28" t="s">
        <v>13</v>
      </c>
      <c r="H17" s="27">
        <v>1906004</v>
      </c>
      <c r="I17" s="28" t="s">
        <v>17</v>
      </c>
      <c r="J17" s="27">
        <v>190600401</v>
      </c>
      <c r="K17" s="1">
        <v>500</v>
      </c>
      <c r="L17" s="1" t="s">
        <v>113</v>
      </c>
      <c r="M17" s="27" t="s">
        <v>124</v>
      </c>
      <c r="N17" s="27"/>
      <c r="O17" s="1"/>
      <c r="P17" s="74">
        <f>BK17</f>
        <v>0</v>
      </c>
      <c r="Q17" s="628" t="s">
        <v>1192</v>
      </c>
      <c r="R17" s="1">
        <v>2</v>
      </c>
      <c r="S17" s="1" t="s">
        <v>118</v>
      </c>
      <c r="T17" s="27" t="s">
        <v>117</v>
      </c>
      <c r="U17" s="27" t="s">
        <v>119</v>
      </c>
      <c r="V17" s="1">
        <v>0</v>
      </c>
      <c r="W17" s="1">
        <v>0</v>
      </c>
      <c r="X17" s="1">
        <v>0</v>
      </c>
      <c r="Y17" s="1">
        <v>0</v>
      </c>
      <c r="Z17" s="1">
        <v>0</v>
      </c>
      <c r="AA17" s="1">
        <v>2</v>
      </c>
      <c r="AB17" s="1">
        <v>0</v>
      </c>
      <c r="AC17" s="1">
        <v>0</v>
      </c>
      <c r="AD17" s="582"/>
      <c r="AE17" s="582">
        <v>0</v>
      </c>
      <c r="AF17" s="582"/>
      <c r="AG17" s="582">
        <v>0</v>
      </c>
      <c r="AH17" s="582">
        <v>0</v>
      </c>
      <c r="AI17" s="582">
        <v>0</v>
      </c>
      <c r="AJ17" s="582"/>
      <c r="AK17" s="582"/>
      <c r="AL17" s="582"/>
      <c r="AM17" s="582"/>
      <c r="AN17" s="582"/>
      <c r="AO17" s="582"/>
      <c r="AP17" s="582"/>
      <c r="AQ17" s="588">
        <v>8125086.5674000001</v>
      </c>
      <c r="AR17" s="582"/>
      <c r="AS17" s="582"/>
      <c r="AT17" s="593">
        <f t="shared" si="1"/>
        <v>8125086.5674000001</v>
      </c>
      <c r="AU17" s="36"/>
      <c r="AV17" s="36"/>
      <c r="AW17" s="36"/>
      <c r="AX17" s="36"/>
      <c r="AY17" s="36"/>
      <c r="AZ17" s="36"/>
      <c r="BA17" s="36"/>
      <c r="BB17" s="36"/>
      <c r="BC17" s="36"/>
      <c r="BD17" s="36"/>
      <c r="BE17" s="36"/>
      <c r="BF17" s="36"/>
      <c r="BG17" s="36"/>
      <c r="BH17" s="36"/>
      <c r="BI17" s="36"/>
      <c r="BJ17" s="36"/>
      <c r="BK17" s="57"/>
      <c r="BL17" s="26" t="s">
        <v>85</v>
      </c>
      <c r="BM17" s="27" t="s">
        <v>1183</v>
      </c>
      <c r="BO17" s="606"/>
    </row>
    <row r="18" spans="1:67" s="38" customFormat="1" ht="51">
      <c r="A18" s="28" t="s">
        <v>6</v>
      </c>
      <c r="B18" s="26" t="s">
        <v>16</v>
      </c>
      <c r="C18" s="28" t="s">
        <v>11</v>
      </c>
      <c r="D18" s="34">
        <v>19</v>
      </c>
      <c r="E18" s="35" t="s">
        <v>12</v>
      </c>
      <c r="F18" s="34">
        <v>1906</v>
      </c>
      <c r="G18" s="28" t="s">
        <v>13</v>
      </c>
      <c r="H18" s="27">
        <v>1906004</v>
      </c>
      <c r="I18" s="28" t="s">
        <v>14</v>
      </c>
      <c r="J18" s="27">
        <v>190600400</v>
      </c>
      <c r="K18" s="1">
        <v>500</v>
      </c>
      <c r="L18" s="1" t="s">
        <v>113</v>
      </c>
      <c r="M18" s="629" t="str">
        <f>M17</f>
        <v>Promoción a la afiliación en salud</v>
      </c>
      <c r="N18" s="27"/>
      <c r="O18" s="1"/>
      <c r="P18" s="74">
        <f>BK18</f>
        <v>0</v>
      </c>
      <c r="Q18" s="630" t="s">
        <v>1189</v>
      </c>
      <c r="R18" s="1">
        <v>1</v>
      </c>
      <c r="S18" s="1" t="s">
        <v>118</v>
      </c>
      <c r="T18" s="27" t="s">
        <v>117</v>
      </c>
      <c r="U18" s="27" t="s">
        <v>119</v>
      </c>
      <c r="V18" s="1">
        <v>0</v>
      </c>
      <c r="W18" s="1">
        <v>0</v>
      </c>
      <c r="X18" s="1">
        <v>0</v>
      </c>
      <c r="Y18" s="1">
        <v>0</v>
      </c>
      <c r="Z18" s="1">
        <v>0</v>
      </c>
      <c r="AA18" s="1">
        <v>1</v>
      </c>
      <c r="AB18" s="1">
        <v>0</v>
      </c>
      <c r="AC18" s="1">
        <v>0</v>
      </c>
      <c r="AD18" s="582"/>
      <c r="AE18" s="582">
        <v>0</v>
      </c>
      <c r="AF18" s="582"/>
      <c r="AG18" s="582">
        <v>0</v>
      </c>
      <c r="AH18" s="582">
        <v>0</v>
      </c>
      <c r="AI18" s="582">
        <v>0</v>
      </c>
      <c r="AJ18" s="582"/>
      <c r="AK18" s="582"/>
      <c r="AL18" s="582"/>
      <c r="AM18" s="582"/>
      <c r="AN18" s="582"/>
      <c r="AO18" s="582"/>
      <c r="AP18" s="582"/>
      <c r="AQ18" s="588">
        <v>3604848</v>
      </c>
      <c r="AR18" s="582"/>
      <c r="AS18" s="582"/>
      <c r="AT18" s="593">
        <f t="shared" si="1"/>
        <v>3604848</v>
      </c>
      <c r="AU18" s="36"/>
      <c r="AV18" s="36"/>
      <c r="AW18" s="36"/>
      <c r="AX18" s="36"/>
      <c r="AY18" s="36"/>
      <c r="AZ18" s="36"/>
      <c r="BA18" s="36"/>
      <c r="BB18" s="36"/>
      <c r="BC18" s="36"/>
      <c r="BD18" s="36"/>
      <c r="BE18" s="36"/>
      <c r="BF18" s="36"/>
      <c r="BG18" s="36"/>
      <c r="BH18" s="36"/>
      <c r="BI18" s="36"/>
      <c r="BJ18" s="36"/>
      <c r="BK18" s="57"/>
      <c r="BL18" s="26" t="s">
        <v>85</v>
      </c>
      <c r="BM18" s="27" t="s">
        <v>1184</v>
      </c>
      <c r="BO18" s="606"/>
    </row>
    <row r="19" spans="1:67" s="38" customFormat="1" ht="177.75" customHeight="1">
      <c r="A19" s="28" t="s">
        <v>6</v>
      </c>
      <c r="B19" s="26" t="s">
        <v>10</v>
      </c>
      <c r="C19" s="28" t="s">
        <v>11</v>
      </c>
      <c r="D19" s="34">
        <v>19</v>
      </c>
      <c r="E19" s="35" t="s">
        <v>19</v>
      </c>
      <c r="F19" s="34">
        <v>1905</v>
      </c>
      <c r="G19" s="28" t="s">
        <v>86</v>
      </c>
      <c r="H19" s="27">
        <v>1905019</v>
      </c>
      <c r="I19" s="28" t="s">
        <v>7</v>
      </c>
      <c r="J19" s="27">
        <v>190501900</v>
      </c>
      <c r="K19" s="635">
        <f>80+1750+120+60+25+125</f>
        <v>2160</v>
      </c>
      <c r="L19" s="44">
        <v>1</v>
      </c>
      <c r="M19" s="629" t="s">
        <v>1186</v>
      </c>
      <c r="N19" s="27"/>
      <c r="O19" s="37"/>
      <c r="P19" s="74">
        <f t="shared" si="2"/>
        <v>0</v>
      </c>
      <c r="Q19" s="630" t="s">
        <v>1190</v>
      </c>
      <c r="R19" s="1">
        <v>1</v>
      </c>
      <c r="S19" s="1" t="s">
        <v>118</v>
      </c>
      <c r="T19" s="27" t="s">
        <v>117</v>
      </c>
      <c r="U19" s="27" t="s">
        <v>119</v>
      </c>
      <c r="V19" s="28"/>
      <c r="W19" s="28"/>
      <c r="X19" s="28"/>
      <c r="Y19" s="28"/>
      <c r="Z19" s="1">
        <v>0</v>
      </c>
      <c r="AA19" s="1">
        <v>0</v>
      </c>
      <c r="AB19" s="1">
        <v>1</v>
      </c>
      <c r="AC19" s="1">
        <v>0</v>
      </c>
      <c r="AD19" s="582"/>
      <c r="AE19" s="582">
        <v>0</v>
      </c>
      <c r="AF19" s="582">
        <v>43905200</v>
      </c>
      <c r="AG19" s="582">
        <v>0</v>
      </c>
      <c r="AH19" s="582">
        <v>0</v>
      </c>
      <c r="AI19" s="582">
        <v>0</v>
      </c>
      <c r="AJ19" s="582"/>
      <c r="AK19" s="582"/>
      <c r="AL19" s="582"/>
      <c r="AM19" s="582"/>
      <c r="AN19" s="582"/>
      <c r="AO19" s="582"/>
      <c r="AP19" s="582"/>
      <c r="AQ19" s="582"/>
      <c r="AR19" s="582"/>
      <c r="AS19" s="582"/>
      <c r="AT19" s="593">
        <f t="shared" si="1"/>
        <v>43905200</v>
      </c>
      <c r="AU19" s="36"/>
      <c r="AV19" s="36"/>
      <c r="AW19" s="36"/>
      <c r="AX19" s="36"/>
      <c r="AY19" s="36"/>
      <c r="AZ19" s="36"/>
      <c r="BA19" s="36"/>
      <c r="BB19" s="36"/>
      <c r="BC19" s="36"/>
      <c r="BD19" s="36"/>
      <c r="BE19" s="36"/>
      <c r="BF19" s="36"/>
      <c r="BG19" s="36"/>
      <c r="BH19" s="36"/>
      <c r="BI19" s="36"/>
      <c r="BJ19" s="36"/>
      <c r="BK19" s="57"/>
      <c r="BL19" s="26" t="s">
        <v>85</v>
      </c>
      <c r="BM19" s="27" t="s">
        <v>1185</v>
      </c>
      <c r="BO19" s="606"/>
    </row>
    <row r="20" spans="1:67" s="38" customFormat="1" ht="140.25">
      <c r="A20" s="28" t="s">
        <v>6</v>
      </c>
      <c r="B20" s="26" t="s">
        <v>10</v>
      </c>
      <c r="C20" s="28" t="s">
        <v>11</v>
      </c>
      <c r="D20" s="34">
        <v>19</v>
      </c>
      <c r="E20" s="35" t="s">
        <v>19</v>
      </c>
      <c r="F20" s="34">
        <v>1905</v>
      </c>
      <c r="G20" s="28" t="s">
        <v>86</v>
      </c>
      <c r="H20" s="27">
        <v>1905019</v>
      </c>
      <c r="I20" s="28" t="s">
        <v>7</v>
      </c>
      <c r="J20" s="27">
        <v>190501900</v>
      </c>
      <c r="K20" s="636"/>
      <c r="L20" s="56">
        <v>700</v>
      </c>
      <c r="M20" s="629" t="s">
        <v>1186</v>
      </c>
      <c r="N20" s="27"/>
      <c r="O20" s="37"/>
      <c r="P20" s="74">
        <f t="shared" si="2"/>
        <v>0</v>
      </c>
      <c r="Q20" s="630" t="s">
        <v>1191</v>
      </c>
      <c r="R20" s="1">
        <v>1</v>
      </c>
      <c r="S20" s="1" t="s">
        <v>118</v>
      </c>
      <c r="T20" s="27" t="s">
        <v>117</v>
      </c>
      <c r="U20" s="27" t="s">
        <v>119</v>
      </c>
      <c r="V20" s="28"/>
      <c r="W20" s="28"/>
      <c r="X20" s="28"/>
      <c r="Y20" s="28"/>
      <c r="Z20" s="1">
        <v>0</v>
      </c>
      <c r="AA20" s="1">
        <v>0</v>
      </c>
      <c r="AB20" s="1">
        <v>1</v>
      </c>
      <c r="AC20" s="1">
        <v>0</v>
      </c>
      <c r="AD20" s="582"/>
      <c r="AE20" s="582">
        <v>0</v>
      </c>
      <c r="AF20" s="582">
        <v>19075654</v>
      </c>
      <c r="AG20" s="582">
        <v>0</v>
      </c>
      <c r="AH20" s="582">
        <v>0</v>
      </c>
      <c r="AI20" s="582">
        <v>0</v>
      </c>
      <c r="AJ20" s="582"/>
      <c r="AK20" s="582"/>
      <c r="AL20" s="582"/>
      <c r="AM20" s="582"/>
      <c r="AN20" s="582"/>
      <c r="AO20" s="582"/>
      <c r="AP20" s="582"/>
      <c r="AQ20" s="582"/>
      <c r="AR20" s="582"/>
      <c r="AS20" s="582"/>
      <c r="AT20" s="593">
        <f t="shared" si="1"/>
        <v>19075654</v>
      </c>
      <c r="AU20" s="36"/>
      <c r="AV20" s="36"/>
      <c r="AW20" s="36"/>
      <c r="AX20" s="36"/>
      <c r="AY20" s="36"/>
      <c r="AZ20" s="36"/>
      <c r="BA20" s="36"/>
      <c r="BB20" s="36"/>
      <c r="BC20" s="36"/>
      <c r="BD20" s="36"/>
      <c r="BE20" s="36"/>
      <c r="BF20" s="36"/>
      <c r="BG20" s="36"/>
      <c r="BH20" s="36"/>
      <c r="BI20" s="36"/>
      <c r="BJ20" s="36"/>
      <c r="BK20" s="57"/>
      <c r="BL20" s="26" t="s">
        <v>85</v>
      </c>
      <c r="BM20" s="27" t="s">
        <v>1185</v>
      </c>
      <c r="BO20" s="606"/>
    </row>
    <row r="21" spans="1:67" s="38" customFormat="1" ht="140.25">
      <c r="A21" s="28" t="s">
        <v>6</v>
      </c>
      <c r="B21" s="26" t="s">
        <v>10</v>
      </c>
      <c r="C21" s="28" t="s">
        <v>11</v>
      </c>
      <c r="D21" s="34">
        <v>19</v>
      </c>
      <c r="E21" s="35" t="s">
        <v>19</v>
      </c>
      <c r="F21" s="34">
        <v>1905</v>
      </c>
      <c r="G21" s="28" t="s">
        <v>86</v>
      </c>
      <c r="H21" s="27">
        <v>1905019</v>
      </c>
      <c r="I21" s="28" t="s">
        <v>7</v>
      </c>
      <c r="J21" s="27">
        <v>190501900</v>
      </c>
      <c r="K21" s="636"/>
      <c r="L21" s="56">
        <v>125</v>
      </c>
      <c r="M21" s="629" t="s">
        <v>1186</v>
      </c>
      <c r="N21" s="27"/>
      <c r="O21" s="37"/>
      <c r="P21" s="74">
        <f t="shared" si="2"/>
        <v>0</v>
      </c>
      <c r="Q21" s="630" t="s">
        <v>1193</v>
      </c>
      <c r="R21" s="1">
        <v>1</v>
      </c>
      <c r="S21" s="1" t="s">
        <v>118</v>
      </c>
      <c r="T21" s="27" t="s">
        <v>117</v>
      </c>
      <c r="U21" s="27" t="s">
        <v>119</v>
      </c>
      <c r="V21" s="28"/>
      <c r="W21" s="28"/>
      <c r="X21" s="28"/>
      <c r="Y21" s="28"/>
      <c r="Z21" s="1">
        <v>0</v>
      </c>
      <c r="AA21" s="1">
        <v>0</v>
      </c>
      <c r="AB21" s="1">
        <v>1</v>
      </c>
      <c r="AC21" s="1">
        <v>0</v>
      </c>
      <c r="AD21" s="582"/>
      <c r="AE21" s="582">
        <v>0</v>
      </c>
      <c r="AF21" s="582">
        <v>6519028.4000000004</v>
      </c>
      <c r="AG21" s="582">
        <v>0</v>
      </c>
      <c r="AH21" s="582">
        <v>0</v>
      </c>
      <c r="AI21" s="582">
        <v>0</v>
      </c>
      <c r="AJ21" s="582"/>
      <c r="AK21" s="582"/>
      <c r="AL21" s="582"/>
      <c r="AM21" s="582"/>
      <c r="AN21" s="582"/>
      <c r="AO21" s="582"/>
      <c r="AP21" s="582"/>
      <c r="AQ21" s="582"/>
      <c r="AR21" s="582"/>
      <c r="AS21" s="582"/>
      <c r="AT21" s="593">
        <f t="shared" si="1"/>
        <v>6519028.4000000004</v>
      </c>
      <c r="AU21" s="36"/>
      <c r="AV21" s="36"/>
      <c r="AW21" s="36"/>
      <c r="AX21" s="36"/>
      <c r="AY21" s="36"/>
      <c r="AZ21" s="36"/>
      <c r="BA21" s="36"/>
      <c r="BB21" s="36"/>
      <c r="BC21" s="36"/>
      <c r="BD21" s="36"/>
      <c r="BE21" s="36"/>
      <c r="BF21" s="36"/>
      <c r="BG21" s="36"/>
      <c r="BH21" s="36"/>
      <c r="BI21" s="36"/>
      <c r="BJ21" s="36"/>
      <c r="BK21" s="57"/>
      <c r="BL21" s="26" t="s">
        <v>85</v>
      </c>
      <c r="BM21" s="27" t="s">
        <v>1185</v>
      </c>
      <c r="BO21" s="606"/>
    </row>
    <row r="22" spans="1:67" s="38" customFormat="1" ht="140.25">
      <c r="A22" s="28" t="s">
        <v>6</v>
      </c>
      <c r="B22" s="26" t="s">
        <v>10</v>
      </c>
      <c r="C22" s="28" t="s">
        <v>11</v>
      </c>
      <c r="D22" s="34">
        <v>19</v>
      </c>
      <c r="E22" s="35" t="s">
        <v>19</v>
      </c>
      <c r="F22" s="34">
        <v>1905</v>
      </c>
      <c r="G22" s="28" t="s">
        <v>86</v>
      </c>
      <c r="H22" s="27">
        <v>1905019</v>
      </c>
      <c r="I22" s="28" t="s">
        <v>7</v>
      </c>
      <c r="J22" s="27">
        <v>190501900</v>
      </c>
      <c r="K22" s="636"/>
      <c r="L22" s="56">
        <v>66</v>
      </c>
      <c r="M22" s="629" t="s">
        <v>1186</v>
      </c>
      <c r="N22" s="27"/>
      <c r="O22" s="37"/>
      <c r="P22" s="74">
        <f t="shared" si="2"/>
        <v>0</v>
      </c>
      <c r="Q22" s="630" t="s">
        <v>1194</v>
      </c>
      <c r="R22" s="1">
        <v>1</v>
      </c>
      <c r="S22" s="1" t="s">
        <v>118</v>
      </c>
      <c r="T22" s="27" t="s">
        <v>117</v>
      </c>
      <c r="U22" s="27" t="s">
        <v>119</v>
      </c>
      <c r="V22" s="28"/>
      <c r="W22" s="28"/>
      <c r="X22" s="28"/>
      <c r="Y22" s="28"/>
      <c r="Z22" s="1">
        <v>0</v>
      </c>
      <c r="AA22" s="1">
        <v>0</v>
      </c>
      <c r="AB22" s="1">
        <v>1</v>
      </c>
      <c r="AC22" s="1">
        <v>0</v>
      </c>
      <c r="AD22" s="582"/>
      <c r="AE22" s="582">
        <v>0</v>
      </c>
      <c r="AF22" s="582">
        <v>26574200</v>
      </c>
      <c r="AG22" s="582">
        <v>0</v>
      </c>
      <c r="AH22" s="582">
        <v>0</v>
      </c>
      <c r="AI22" s="582">
        <v>0</v>
      </c>
      <c r="AJ22" s="582"/>
      <c r="AK22" s="582"/>
      <c r="AL22" s="582"/>
      <c r="AM22" s="582"/>
      <c r="AN22" s="582"/>
      <c r="AO22" s="582"/>
      <c r="AP22" s="582"/>
      <c r="AQ22" s="582"/>
      <c r="AR22" s="582"/>
      <c r="AS22" s="582"/>
      <c r="AT22" s="593">
        <f t="shared" si="1"/>
        <v>26574200</v>
      </c>
      <c r="AU22" s="36"/>
      <c r="AV22" s="36"/>
      <c r="AW22" s="36"/>
      <c r="AX22" s="36"/>
      <c r="AY22" s="36"/>
      <c r="AZ22" s="36"/>
      <c r="BA22" s="36"/>
      <c r="BB22" s="36"/>
      <c r="BC22" s="36"/>
      <c r="BD22" s="36"/>
      <c r="BE22" s="36"/>
      <c r="BF22" s="36"/>
      <c r="BG22" s="36"/>
      <c r="BH22" s="36"/>
      <c r="BI22" s="36"/>
      <c r="BJ22" s="36"/>
      <c r="BK22" s="57"/>
      <c r="BL22" s="26" t="s">
        <v>85</v>
      </c>
      <c r="BM22" s="27" t="s">
        <v>1185</v>
      </c>
      <c r="BO22" s="606"/>
    </row>
    <row r="23" spans="1:67" s="38" customFormat="1" ht="140.25" customHeight="1">
      <c r="A23" s="28" t="s">
        <v>6</v>
      </c>
      <c r="B23" s="26" t="s">
        <v>10</v>
      </c>
      <c r="C23" s="28" t="s">
        <v>11</v>
      </c>
      <c r="D23" s="34">
        <v>19</v>
      </c>
      <c r="E23" s="35" t="s">
        <v>19</v>
      </c>
      <c r="F23" s="34">
        <v>1905</v>
      </c>
      <c r="G23" s="28" t="s">
        <v>86</v>
      </c>
      <c r="H23" s="27">
        <v>1905019</v>
      </c>
      <c r="I23" s="28" t="s">
        <v>7</v>
      </c>
      <c r="J23" s="27">
        <v>190501900</v>
      </c>
      <c r="K23" s="636"/>
      <c r="L23" s="56">
        <v>1</v>
      </c>
      <c r="M23" s="629" t="s">
        <v>1186</v>
      </c>
      <c r="N23" s="27"/>
      <c r="O23" s="37"/>
      <c r="P23" s="74">
        <f t="shared" si="2"/>
        <v>0</v>
      </c>
      <c r="Q23" s="630" t="s">
        <v>1195</v>
      </c>
      <c r="R23" s="1">
        <v>1</v>
      </c>
      <c r="S23" s="1" t="s">
        <v>118</v>
      </c>
      <c r="T23" s="27" t="s">
        <v>117</v>
      </c>
      <c r="U23" s="27" t="s">
        <v>119</v>
      </c>
      <c r="V23" s="28"/>
      <c r="W23" s="28"/>
      <c r="X23" s="28"/>
      <c r="Y23" s="28"/>
      <c r="Z23" s="1">
        <v>0</v>
      </c>
      <c r="AA23" s="1">
        <v>0</v>
      </c>
      <c r="AB23" s="1">
        <v>1</v>
      </c>
      <c r="AC23" s="1">
        <v>0</v>
      </c>
      <c r="AD23" s="582"/>
      <c r="AE23" s="582">
        <v>0</v>
      </c>
      <c r="AF23" s="582">
        <v>11588008</v>
      </c>
      <c r="AG23" s="582">
        <v>0</v>
      </c>
      <c r="AH23" s="582">
        <v>0</v>
      </c>
      <c r="AI23" s="582">
        <v>0</v>
      </c>
      <c r="AJ23" s="582"/>
      <c r="AK23" s="582"/>
      <c r="AL23" s="582"/>
      <c r="AM23" s="582"/>
      <c r="AN23" s="582"/>
      <c r="AO23" s="582"/>
      <c r="AP23" s="582"/>
      <c r="AQ23" s="582"/>
      <c r="AR23" s="582"/>
      <c r="AS23" s="582"/>
      <c r="AT23" s="593">
        <f t="shared" si="1"/>
        <v>11588008</v>
      </c>
      <c r="AU23" s="36"/>
      <c r="AV23" s="36"/>
      <c r="AW23" s="36"/>
      <c r="AX23" s="36"/>
      <c r="AY23" s="36"/>
      <c r="AZ23" s="36"/>
      <c r="BA23" s="36"/>
      <c r="BB23" s="36"/>
      <c r="BC23" s="36"/>
      <c r="BD23" s="36"/>
      <c r="BE23" s="36"/>
      <c r="BF23" s="36"/>
      <c r="BG23" s="36"/>
      <c r="BH23" s="36"/>
      <c r="BI23" s="36"/>
      <c r="BJ23" s="36"/>
      <c r="BK23" s="57"/>
      <c r="BL23" s="26" t="s">
        <v>85</v>
      </c>
      <c r="BM23" s="27" t="s">
        <v>1185</v>
      </c>
      <c r="BO23" s="606"/>
    </row>
    <row r="24" spans="1:67" s="38" customFormat="1" ht="140.25">
      <c r="A24" s="28" t="s">
        <v>6</v>
      </c>
      <c r="B24" s="26" t="s">
        <v>10</v>
      </c>
      <c r="C24" s="28" t="s">
        <v>11</v>
      </c>
      <c r="D24" s="34">
        <v>19</v>
      </c>
      <c r="E24" s="35" t="s">
        <v>19</v>
      </c>
      <c r="F24" s="34">
        <v>1905</v>
      </c>
      <c r="G24" s="28" t="s">
        <v>86</v>
      </c>
      <c r="H24" s="27">
        <v>1905019</v>
      </c>
      <c r="I24" s="28" t="s">
        <v>7</v>
      </c>
      <c r="J24" s="27">
        <v>190501900</v>
      </c>
      <c r="K24" s="637"/>
      <c r="L24" s="41">
        <v>100</v>
      </c>
      <c r="M24" s="629" t="s">
        <v>1186</v>
      </c>
      <c r="N24" s="27"/>
      <c r="O24" s="37"/>
      <c r="P24" s="74">
        <f t="shared" si="2"/>
        <v>0</v>
      </c>
      <c r="Q24" s="630" t="s">
        <v>1196</v>
      </c>
      <c r="R24" s="1">
        <v>1</v>
      </c>
      <c r="S24" s="1" t="s">
        <v>118</v>
      </c>
      <c r="T24" s="27" t="s">
        <v>117</v>
      </c>
      <c r="U24" s="27" t="s">
        <v>119</v>
      </c>
      <c r="V24" s="28"/>
      <c r="W24" s="28"/>
      <c r="X24" s="28"/>
      <c r="Y24" s="28"/>
      <c r="Z24" s="1">
        <v>0</v>
      </c>
      <c r="AA24" s="1">
        <v>0</v>
      </c>
      <c r="AB24" s="1">
        <v>1</v>
      </c>
      <c r="AC24" s="1">
        <v>0</v>
      </c>
      <c r="AD24" s="582"/>
      <c r="AE24" s="582">
        <v>0</v>
      </c>
      <c r="AF24" s="582">
        <v>10183695.6</v>
      </c>
      <c r="AG24" s="582">
        <v>0</v>
      </c>
      <c r="AH24" s="582">
        <v>0</v>
      </c>
      <c r="AI24" s="582">
        <v>0</v>
      </c>
      <c r="AJ24" s="582"/>
      <c r="AK24" s="582"/>
      <c r="AL24" s="582"/>
      <c r="AM24" s="582"/>
      <c r="AN24" s="582"/>
      <c r="AO24" s="582"/>
      <c r="AP24" s="582"/>
      <c r="AQ24" s="582"/>
      <c r="AR24" s="582"/>
      <c r="AS24" s="582"/>
      <c r="AT24" s="593">
        <f t="shared" si="1"/>
        <v>10183695.6</v>
      </c>
      <c r="AU24" s="36"/>
      <c r="AV24" s="36"/>
      <c r="AW24" s="36"/>
      <c r="AX24" s="36"/>
      <c r="AY24" s="36"/>
      <c r="AZ24" s="36"/>
      <c r="BA24" s="36"/>
      <c r="BB24" s="36"/>
      <c r="BC24" s="36"/>
      <c r="BD24" s="36"/>
      <c r="BE24" s="36"/>
      <c r="BF24" s="36"/>
      <c r="BG24" s="36"/>
      <c r="BH24" s="36"/>
      <c r="BI24" s="36"/>
      <c r="BJ24" s="36"/>
      <c r="BK24" s="57"/>
      <c r="BL24" s="26" t="s">
        <v>85</v>
      </c>
      <c r="BM24" s="27" t="s">
        <v>1185</v>
      </c>
      <c r="BO24" s="606"/>
    </row>
    <row r="25" spans="1:67" s="38" customFormat="1" ht="89.25">
      <c r="A25" s="28" t="s">
        <v>6</v>
      </c>
      <c r="B25" s="26" t="s">
        <v>18</v>
      </c>
      <c r="C25" s="28" t="s">
        <v>11</v>
      </c>
      <c r="D25" s="34">
        <v>19</v>
      </c>
      <c r="E25" s="35" t="s">
        <v>19</v>
      </c>
      <c r="F25" s="34">
        <v>1905</v>
      </c>
      <c r="G25" s="28" t="s">
        <v>20</v>
      </c>
      <c r="H25" s="27">
        <v>1905024</v>
      </c>
      <c r="I25" s="28" t="s">
        <v>21</v>
      </c>
      <c r="J25" s="27">
        <v>190502400</v>
      </c>
      <c r="K25" s="635">
        <v>3</v>
      </c>
      <c r="L25" s="44" t="s">
        <v>113</v>
      </c>
      <c r="M25" s="27" t="s">
        <v>130</v>
      </c>
      <c r="N25" s="27"/>
      <c r="O25" s="1"/>
      <c r="P25" s="74">
        <f t="shared" si="2"/>
        <v>0</v>
      </c>
      <c r="Q25" s="30" t="s">
        <v>1197</v>
      </c>
      <c r="R25" s="1">
        <v>4</v>
      </c>
      <c r="S25" s="1" t="s">
        <v>118</v>
      </c>
      <c r="T25" s="27" t="s">
        <v>129</v>
      </c>
      <c r="U25" s="27" t="s">
        <v>119</v>
      </c>
      <c r="V25" s="28"/>
      <c r="W25" s="28"/>
      <c r="X25" s="28"/>
      <c r="Y25" s="28"/>
      <c r="Z25" s="1">
        <v>0</v>
      </c>
      <c r="AA25" s="1">
        <v>1</v>
      </c>
      <c r="AB25" s="1">
        <v>2</v>
      </c>
      <c r="AC25" s="1">
        <v>1</v>
      </c>
      <c r="AD25" s="582"/>
      <c r="AE25" s="582">
        <v>0</v>
      </c>
      <c r="AF25" s="578">
        <v>40439000</v>
      </c>
      <c r="AG25" s="582">
        <v>0</v>
      </c>
      <c r="AH25" s="582">
        <v>0</v>
      </c>
      <c r="AI25" s="582">
        <v>0</v>
      </c>
      <c r="AJ25" s="582"/>
      <c r="AK25" s="582"/>
      <c r="AL25" s="582"/>
      <c r="AM25" s="582"/>
      <c r="AN25" s="582"/>
      <c r="AO25" s="582"/>
      <c r="AP25" s="582"/>
      <c r="AQ25" s="582"/>
      <c r="AR25" s="582"/>
      <c r="AS25" s="582"/>
      <c r="AT25" s="593">
        <f t="shared" si="1"/>
        <v>40439000</v>
      </c>
      <c r="AU25" s="36"/>
      <c r="AV25" s="36"/>
      <c r="AW25" s="36"/>
      <c r="AX25" s="36"/>
      <c r="AY25" s="36"/>
      <c r="AZ25" s="36"/>
      <c r="BA25" s="36"/>
      <c r="BB25" s="36"/>
      <c r="BC25" s="36"/>
      <c r="BD25" s="36"/>
      <c r="BE25" s="36"/>
      <c r="BF25" s="36"/>
      <c r="BG25" s="36"/>
      <c r="BH25" s="36"/>
      <c r="BI25" s="36"/>
      <c r="BJ25" s="36"/>
      <c r="BK25" s="57"/>
      <c r="BL25" s="26" t="s">
        <v>85</v>
      </c>
      <c r="BM25" s="42"/>
      <c r="BO25" s="606"/>
    </row>
    <row r="26" spans="1:67" s="38" customFormat="1" ht="140.25" customHeight="1">
      <c r="A26" s="28" t="s">
        <v>6</v>
      </c>
      <c r="B26" s="26" t="s">
        <v>18</v>
      </c>
      <c r="C26" s="28" t="s">
        <v>11</v>
      </c>
      <c r="D26" s="34">
        <v>19</v>
      </c>
      <c r="E26" s="35" t="s">
        <v>19</v>
      </c>
      <c r="F26" s="34">
        <v>1905</v>
      </c>
      <c r="G26" s="28" t="s">
        <v>20</v>
      </c>
      <c r="H26" s="27">
        <v>1905024</v>
      </c>
      <c r="I26" s="28" t="s">
        <v>21</v>
      </c>
      <c r="J26" s="27">
        <v>190502400</v>
      </c>
      <c r="K26" s="636"/>
      <c r="L26" s="56">
        <v>1</v>
      </c>
      <c r="M26" s="27" t="s">
        <v>131</v>
      </c>
      <c r="N26" s="27"/>
      <c r="O26" s="1"/>
      <c r="P26" s="74">
        <f t="shared" si="2"/>
        <v>0</v>
      </c>
      <c r="Q26" s="30" t="s">
        <v>1198</v>
      </c>
      <c r="R26" s="1">
        <v>8</v>
      </c>
      <c r="S26" s="1" t="s">
        <v>118</v>
      </c>
      <c r="T26" s="27" t="s">
        <v>129</v>
      </c>
      <c r="U26" s="27" t="s">
        <v>119</v>
      </c>
      <c r="V26" s="28"/>
      <c r="W26" s="28"/>
      <c r="X26" s="28"/>
      <c r="Y26" s="28"/>
      <c r="Z26" s="1">
        <v>0</v>
      </c>
      <c r="AA26" s="1">
        <v>2</v>
      </c>
      <c r="AB26" s="1">
        <v>3</v>
      </c>
      <c r="AC26" s="1">
        <v>3</v>
      </c>
      <c r="AD26" s="582"/>
      <c r="AE26" s="582">
        <v>0</v>
      </c>
      <c r="AF26" s="578">
        <v>6392238.7699999996</v>
      </c>
      <c r="AG26" s="582">
        <v>0</v>
      </c>
      <c r="AH26" s="582">
        <v>0</v>
      </c>
      <c r="AI26" s="582">
        <v>0</v>
      </c>
      <c r="AJ26" s="582"/>
      <c r="AK26" s="582"/>
      <c r="AL26" s="582"/>
      <c r="AM26" s="582"/>
      <c r="AN26" s="582"/>
      <c r="AO26" s="582"/>
      <c r="AP26" s="582"/>
      <c r="AQ26" s="582"/>
      <c r="AR26" s="582"/>
      <c r="AS26" s="582"/>
      <c r="AT26" s="593">
        <f t="shared" si="1"/>
        <v>6392238.7699999996</v>
      </c>
      <c r="AU26" s="36"/>
      <c r="AV26" s="36"/>
      <c r="AW26" s="36"/>
      <c r="AX26" s="36"/>
      <c r="AY26" s="36"/>
      <c r="AZ26" s="36"/>
      <c r="BA26" s="36"/>
      <c r="BB26" s="36"/>
      <c r="BC26" s="36"/>
      <c r="BD26" s="36"/>
      <c r="BE26" s="36"/>
      <c r="BF26" s="36"/>
      <c r="BG26" s="36"/>
      <c r="BH26" s="36"/>
      <c r="BI26" s="36"/>
      <c r="BJ26" s="36"/>
      <c r="BK26" s="57"/>
      <c r="BL26" s="26" t="s">
        <v>85</v>
      </c>
      <c r="BM26" s="42"/>
      <c r="BO26" s="606"/>
    </row>
    <row r="27" spans="1:67" s="38" customFormat="1" ht="89.25">
      <c r="A27" s="28" t="s">
        <v>6</v>
      </c>
      <c r="B27" s="26" t="s">
        <v>18</v>
      </c>
      <c r="C27" s="28" t="s">
        <v>11</v>
      </c>
      <c r="D27" s="34">
        <v>19</v>
      </c>
      <c r="E27" s="35" t="s">
        <v>19</v>
      </c>
      <c r="F27" s="34">
        <v>1905</v>
      </c>
      <c r="G27" s="28" t="s">
        <v>20</v>
      </c>
      <c r="H27" s="27">
        <v>1905024</v>
      </c>
      <c r="I27" s="28" t="s">
        <v>21</v>
      </c>
      <c r="J27" s="27">
        <v>190502400</v>
      </c>
      <c r="K27" s="636"/>
      <c r="L27" s="56">
        <v>1</v>
      </c>
      <c r="M27" s="27" t="s">
        <v>130</v>
      </c>
      <c r="N27" s="27"/>
      <c r="O27" s="37"/>
      <c r="P27" s="74">
        <f t="shared" si="2"/>
        <v>0</v>
      </c>
      <c r="Q27" s="30" t="s">
        <v>127</v>
      </c>
      <c r="R27" s="1">
        <v>100</v>
      </c>
      <c r="S27" s="1" t="s">
        <v>128</v>
      </c>
      <c r="T27" s="27" t="s">
        <v>129</v>
      </c>
      <c r="U27" s="27" t="s">
        <v>119</v>
      </c>
      <c r="V27" s="28"/>
      <c r="W27" s="28"/>
      <c r="X27" s="28"/>
      <c r="Y27" s="28"/>
      <c r="Z27" s="1">
        <v>25</v>
      </c>
      <c r="AA27" s="1">
        <v>25</v>
      </c>
      <c r="AB27" s="1">
        <v>25</v>
      </c>
      <c r="AC27" s="1">
        <v>25</v>
      </c>
      <c r="AD27" s="582"/>
      <c r="AE27" s="582">
        <v>0</v>
      </c>
      <c r="AF27" s="582"/>
      <c r="AG27" s="582">
        <v>0</v>
      </c>
      <c r="AH27" s="582">
        <v>0</v>
      </c>
      <c r="AI27" s="582">
        <v>0</v>
      </c>
      <c r="AJ27" s="582"/>
      <c r="AK27" s="582"/>
      <c r="AL27" s="582"/>
      <c r="AM27" s="582"/>
      <c r="AN27" s="582"/>
      <c r="AO27" s="582"/>
      <c r="AP27" s="582"/>
      <c r="AQ27" s="582"/>
      <c r="AR27" s="582"/>
      <c r="AS27" s="599">
        <f>106141504.33+60000000</f>
        <v>166141504.32999998</v>
      </c>
      <c r="AT27" s="593">
        <f t="shared" si="1"/>
        <v>166141504.32999998</v>
      </c>
      <c r="AU27" s="36"/>
      <c r="AV27" s="36"/>
      <c r="AW27" s="36"/>
      <c r="AX27" s="36"/>
      <c r="AY27" s="36"/>
      <c r="AZ27" s="36"/>
      <c r="BA27" s="36"/>
      <c r="BB27" s="36"/>
      <c r="BC27" s="36"/>
      <c r="BD27" s="36"/>
      <c r="BE27" s="36"/>
      <c r="BF27" s="36"/>
      <c r="BG27" s="36"/>
      <c r="BH27" s="36"/>
      <c r="BI27" s="36"/>
      <c r="BJ27" s="36"/>
      <c r="BK27" s="57"/>
      <c r="BL27" s="26" t="s">
        <v>85</v>
      </c>
      <c r="BM27" s="42"/>
      <c r="BO27" s="606"/>
    </row>
    <row r="28" spans="1:67" s="38" customFormat="1" ht="122.25" customHeight="1">
      <c r="A28" s="31" t="s">
        <v>6</v>
      </c>
      <c r="B28" s="31" t="s">
        <v>22</v>
      </c>
      <c r="C28" s="31" t="s">
        <v>11</v>
      </c>
      <c r="D28" s="34">
        <v>19</v>
      </c>
      <c r="E28" s="53" t="s">
        <v>23</v>
      </c>
      <c r="F28" s="54">
        <v>1903</v>
      </c>
      <c r="G28" s="31" t="s">
        <v>24</v>
      </c>
      <c r="H28" s="49" t="s">
        <v>25</v>
      </c>
      <c r="I28" s="31" t="s">
        <v>26</v>
      </c>
      <c r="J28" s="49">
        <v>190301100</v>
      </c>
      <c r="K28" s="259"/>
      <c r="L28" s="258">
        <v>100</v>
      </c>
      <c r="M28" s="27" t="s">
        <v>138</v>
      </c>
      <c r="N28" s="27"/>
      <c r="O28" s="1"/>
      <c r="P28" s="74">
        <f t="shared" si="2"/>
        <v>0</v>
      </c>
      <c r="Q28" s="627" t="s">
        <v>758</v>
      </c>
      <c r="R28" s="1">
        <v>100</v>
      </c>
      <c r="S28" s="1" t="s">
        <v>128</v>
      </c>
      <c r="T28" s="27" t="s">
        <v>117</v>
      </c>
      <c r="U28" s="27" t="s">
        <v>119</v>
      </c>
      <c r="V28" s="28"/>
      <c r="W28" s="28"/>
      <c r="X28" s="28"/>
      <c r="Y28" s="28"/>
      <c r="Z28" s="1">
        <v>25</v>
      </c>
      <c r="AA28" s="1">
        <v>25</v>
      </c>
      <c r="AB28" s="1">
        <v>25</v>
      </c>
      <c r="AC28" s="1">
        <v>25</v>
      </c>
      <c r="AD28" s="582"/>
      <c r="AE28" s="582">
        <v>0</v>
      </c>
      <c r="AF28" s="583">
        <v>46216000</v>
      </c>
      <c r="AG28" s="582">
        <v>0</v>
      </c>
      <c r="AH28" s="582">
        <v>0</v>
      </c>
      <c r="AI28" s="582">
        <v>0</v>
      </c>
      <c r="AJ28" s="582"/>
      <c r="AK28" s="582"/>
      <c r="AL28" s="582"/>
      <c r="AM28" s="582"/>
      <c r="AN28" s="582"/>
      <c r="AO28" s="582"/>
      <c r="AP28" s="582"/>
      <c r="AQ28" s="582"/>
      <c r="AR28" s="582"/>
      <c r="AS28" s="582"/>
      <c r="AT28" s="593">
        <f t="shared" si="1"/>
        <v>46216000</v>
      </c>
      <c r="AU28" s="36"/>
      <c r="AV28" s="36"/>
      <c r="AW28" s="36"/>
      <c r="AX28" s="36"/>
      <c r="AY28" s="36"/>
      <c r="AZ28" s="36"/>
      <c r="BA28" s="36"/>
      <c r="BB28" s="36"/>
      <c r="BC28" s="36"/>
      <c r="BD28" s="36"/>
      <c r="BE28" s="36"/>
      <c r="BF28" s="36"/>
      <c r="BG28" s="36"/>
      <c r="BH28" s="36"/>
      <c r="BI28" s="36"/>
      <c r="BJ28" s="36"/>
      <c r="BK28" s="57"/>
      <c r="BL28" s="26" t="s">
        <v>85</v>
      </c>
      <c r="BM28" s="42"/>
      <c r="BO28" s="606"/>
    </row>
    <row r="29" spans="1:67" s="38" customFormat="1" ht="122.25" customHeight="1">
      <c r="A29" s="31" t="s">
        <v>6</v>
      </c>
      <c r="B29" s="31" t="s">
        <v>22</v>
      </c>
      <c r="C29" s="31" t="s">
        <v>11</v>
      </c>
      <c r="D29" s="34">
        <v>19</v>
      </c>
      <c r="E29" s="53" t="s">
        <v>23</v>
      </c>
      <c r="F29" s="54">
        <v>1903</v>
      </c>
      <c r="G29" s="31" t="s">
        <v>24</v>
      </c>
      <c r="H29" s="49" t="s">
        <v>25</v>
      </c>
      <c r="I29" s="31" t="s">
        <v>26</v>
      </c>
      <c r="J29" s="49">
        <v>190301100</v>
      </c>
      <c r="K29" s="635">
        <v>832</v>
      </c>
      <c r="L29" s="44">
        <v>100</v>
      </c>
      <c r="M29" s="27" t="s">
        <v>138</v>
      </c>
      <c r="N29" s="27"/>
      <c r="O29" s="1"/>
      <c r="P29" s="74">
        <f t="shared" si="2"/>
        <v>0</v>
      </c>
      <c r="Q29" s="58" t="s">
        <v>132</v>
      </c>
      <c r="R29" s="1">
        <v>100</v>
      </c>
      <c r="S29" s="1" t="s">
        <v>128</v>
      </c>
      <c r="T29" s="27" t="s">
        <v>117</v>
      </c>
      <c r="U29" s="27" t="s">
        <v>119</v>
      </c>
      <c r="V29" s="28"/>
      <c r="W29" s="28"/>
      <c r="X29" s="28"/>
      <c r="Y29" s="28"/>
      <c r="Z29" s="1">
        <v>25</v>
      </c>
      <c r="AA29" s="1">
        <v>25</v>
      </c>
      <c r="AB29" s="1">
        <v>25</v>
      </c>
      <c r="AC29" s="1">
        <v>25</v>
      </c>
      <c r="AD29" s="582"/>
      <c r="AE29" s="582">
        <v>0</v>
      </c>
      <c r="AF29" s="582">
        <v>213456880</v>
      </c>
      <c r="AG29" s="582">
        <v>0</v>
      </c>
      <c r="AH29" s="582">
        <v>0</v>
      </c>
      <c r="AI29" s="582">
        <v>0</v>
      </c>
      <c r="AJ29" s="582"/>
      <c r="AK29" s="582"/>
      <c r="AL29" s="582"/>
      <c r="AM29" s="582"/>
      <c r="AN29" s="582"/>
      <c r="AO29" s="582"/>
      <c r="AP29" s="582"/>
      <c r="AQ29" s="582"/>
      <c r="AR29" s="582"/>
      <c r="AS29" s="582"/>
      <c r="AT29" s="593">
        <f t="shared" si="1"/>
        <v>213456880</v>
      </c>
      <c r="AU29" s="36"/>
      <c r="AV29" s="36"/>
      <c r="AW29" s="36"/>
      <c r="AX29" s="36"/>
      <c r="AY29" s="36"/>
      <c r="AZ29" s="36"/>
      <c r="BA29" s="36"/>
      <c r="BB29" s="36"/>
      <c r="BC29" s="36"/>
      <c r="BD29" s="36"/>
      <c r="BE29" s="36"/>
      <c r="BF29" s="36"/>
      <c r="BG29" s="36"/>
      <c r="BH29" s="36"/>
      <c r="BI29" s="36"/>
      <c r="BJ29" s="36"/>
      <c r="BK29" s="57"/>
      <c r="BL29" s="26" t="s">
        <v>85</v>
      </c>
      <c r="BM29" s="42"/>
      <c r="BO29" s="606"/>
    </row>
    <row r="30" spans="1:67" s="38" customFormat="1" ht="122.25" customHeight="1">
      <c r="A30" s="31" t="s">
        <v>6</v>
      </c>
      <c r="B30" s="31" t="s">
        <v>22</v>
      </c>
      <c r="C30" s="31" t="s">
        <v>11</v>
      </c>
      <c r="D30" s="34">
        <v>19</v>
      </c>
      <c r="E30" s="53" t="s">
        <v>23</v>
      </c>
      <c r="F30" s="54">
        <v>1903</v>
      </c>
      <c r="G30" s="31" t="s">
        <v>24</v>
      </c>
      <c r="H30" s="49" t="s">
        <v>25</v>
      </c>
      <c r="I30" s="31" t="s">
        <v>26</v>
      </c>
      <c r="J30" s="49">
        <v>190301100</v>
      </c>
      <c r="K30" s="636"/>
      <c r="L30" s="258">
        <v>100</v>
      </c>
      <c r="M30" s="27" t="s">
        <v>138</v>
      </c>
      <c r="N30" s="27"/>
      <c r="O30" s="1"/>
      <c r="P30" s="74">
        <f t="shared" ref="P30" si="5">BK30</f>
        <v>0</v>
      </c>
      <c r="Q30" s="627" t="s">
        <v>1199</v>
      </c>
      <c r="R30" s="1">
        <v>100</v>
      </c>
      <c r="S30" s="1" t="s">
        <v>128</v>
      </c>
      <c r="T30" s="27" t="s">
        <v>117</v>
      </c>
      <c r="U30" s="27" t="s">
        <v>119</v>
      </c>
      <c r="V30" s="28"/>
      <c r="W30" s="28"/>
      <c r="X30" s="28"/>
      <c r="Y30" s="28"/>
      <c r="Z30" s="1">
        <v>25</v>
      </c>
      <c r="AA30" s="1">
        <v>25</v>
      </c>
      <c r="AB30" s="1">
        <v>25</v>
      </c>
      <c r="AC30" s="1">
        <v>25</v>
      </c>
      <c r="AD30" s="582"/>
      <c r="AE30" s="582">
        <v>0</v>
      </c>
      <c r="AF30" s="582">
        <v>46652000</v>
      </c>
      <c r="AG30" s="582">
        <v>0</v>
      </c>
      <c r="AH30" s="582">
        <v>0</v>
      </c>
      <c r="AI30" s="582">
        <v>0</v>
      </c>
      <c r="AJ30" s="582"/>
      <c r="AK30" s="582"/>
      <c r="AL30" s="582"/>
      <c r="AM30" s="582"/>
      <c r="AN30" s="582"/>
      <c r="AO30" s="582"/>
      <c r="AP30" s="582"/>
      <c r="AQ30" s="582"/>
      <c r="AR30" s="582"/>
      <c r="AS30" s="582"/>
      <c r="AT30" s="593">
        <f t="shared" si="1"/>
        <v>46652000</v>
      </c>
      <c r="AU30" s="36"/>
      <c r="AV30" s="36"/>
      <c r="AW30" s="36"/>
      <c r="AX30" s="36"/>
      <c r="AY30" s="36"/>
      <c r="AZ30" s="36"/>
      <c r="BA30" s="36"/>
      <c r="BB30" s="36"/>
      <c r="BC30" s="36"/>
      <c r="BD30" s="36"/>
      <c r="BE30" s="36"/>
      <c r="BF30" s="36"/>
      <c r="BG30" s="36"/>
      <c r="BH30" s="36"/>
      <c r="BI30" s="36"/>
      <c r="BJ30" s="36"/>
      <c r="BK30" s="57"/>
      <c r="BL30" s="26" t="s">
        <v>85</v>
      </c>
      <c r="BM30" s="42"/>
      <c r="BO30" s="606"/>
    </row>
    <row r="31" spans="1:67" s="38" customFormat="1" ht="102">
      <c r="A31" s="31" t="s">
        <v>6</v>
      </c>
      <c r="B31" s="31" t="s">
        <v>22</v>
      </c>
      <c r="C31" s="31" t="s">
        <v>11</v>
      </c>
      <c r="D31" s="34">
        <v>19</v>
      </c>
      <c r="E31" s="53" t="s">
        <v>23</v>
      </c>
      <c r="F31" s="54">
        <v>1903</v>
      </c>
      <c r="G31" s="31" t="s">
        <v>24</v>
      </c>
      <c r="H31" s="49" t="s">
        <v>25</v>
      </c>
      <c r="I31" s="31" t="s">
        <v>26</v>
      </c>
      <c r="J31" s="49">
        <v>190301100</v>
      </c>
      <c r="K31" s="636"/>
      <c r="L31" s="56">
        <v>100</v>
      </c>
      <c r="M31" s="27" t="s">
        <v>138</v>
      </c>
      <c r="N31" s="27"/>
      <c r="O31" s="37"/>
      <c r="P31" s="74">
        <f t="shared" si="2"/>
        <v>0</v>
      </c>
      <c r="Q31" s="58" t="s">
        <v>1200</v>
      </c>
      <c r="R31" s="1">
        <v>100</v>
      </c>
      <c r="S31" s="1" t="s">
        <v>128</v>
      </c>
      <c r="T31" s="27" t="s">
        <v>117</v>
      </c>
      <c r="U31" s="27" t="s">
        <v>119</v>
      </c>
      <c r="V31" s="28"/>
      <c r="W31" s="28"/>
      <c r="X31" s="28"/>
      <c r="Y31" s="28"/>
      <c r="Z31" s="1">
        <v>25</v>
      </c>
      <c r="AA31" s="1">
        <v>25</v>
      </c>
      <c r="AB31" s="1">
        <v>25</v>
      </c>
      <c r="AC31" s="1">
        <v>25</v>
      </c>
      <c r="AD31" s="582"/>
      <c r="AE31" s="582">
        <v>0</v>
      </c>
      <c r="AF31" s="582"/>
      <c r="AG31" s="582">
        <v>0</v>
      </c>
      <c r="AH31" s="582">
        <v>0</v>
      </c>
      <c r="AI31" s="582">
        <v>0</v>
      </c>
      <c r="AJ31" s="582"/>
      <c r="AK31" s="582"/>
      <c r="AL31" s="582"/>
      <c r="AM31" s="582"/>
      <c r="AN31" s="582"/>
      <c r="AO31" s="582"/>
      <c r="AP31" s="582"/>
      <c r="AQ31" s="582"/>
      <c r="AR31" s="582"/>
      <c r="AT31" s="593">
        <f t="shared" si="1"/>
        <v>0</v>
      </c>
      <c r="AU31" s="36"/>
      <c r="AV31" s="36"/>
      <c r="AW31" s="36"/>
      <c r="AX31" s="36"/>
      <c r="AY31" s="36"/>
      <c r="AZ31" s="36"/>
      <c r="BA31" s="36"/>
      <c r="BB31" s="36"/>
      <c r="BC31" s="36"/>
      <c r="BD31" s="36"/>
      <c r="BE31" s="36"/>
      <c r="BF31" s="36"/>
      <c r="BG31" s="36"/>
      <c r="BH31" s="36"/>
      <c r="BI31" s="36"/>
      <c r="BJ31" s="36"/>
      <c r="BK31" s="57"/>
      <c r="BL31" s="26" t="s">
        <v>85</v>
      </c>
      <c r="BM31" s="27"/>
      <c r="BO31" s="606"/>
    </row>
    <row r="32" spans="1:67" s="38" customFormat="1" ht="100.9" customHeight="1">
      <c r="A32" s="31" t="s">
        <v>6</v>
      </c>
      <c r="B32" s="31" t="s">
        <v>22</v>
      </c>
      <c r="C32" s="31" t="s">
        <v>11</v>
      </c>
      <c r="D32" s="55">
        <v>19</v>
      </c>
      <c r="E32" s="53" t="s">
        <v>23</v>
      </c>
      <c r="F32" s="54">
        <v>1903</v>
      </c>
      <c r="G32" s="31" t="s">
        <v>24</v>
      </c>
      <c r="H32" s="49" t="s">
        <v>25</v>
      </c>
      <c r="I32" s="31" t="s">
        <v>26</v>
      </c>
      <c r="J32" s="49">
        <v>190301100</v>
      </c>
      <c r="K32" s="636"/>
      <c r="L32" s="56">
        <v>9554</v>
      </c>
      <c r="M32" s="27" t="s">
        <v>138</v>
      </c>
      <c r="N32" s="27"/>
      <c r="O32" s="37"/>
      <c r="P32" s="74">
        <f t="shared" si="2"/>
        <v>0</v>
      </c>
      <c r="Q32" s="58" t="s">
        <v>1200</v>
      </c>
      <c r="R32" s="1">
        <v>100</v>
      </c>
      <c r="S32" s="1" t="s">
        <v>128</v>
      </c>
      <c r="T32" s="27" t="s">
        <v>117</v>
      </c>
      <c r="U32" s="27" t="s">
        <v>119</v>
      </c>
      <c r="V32" s="28"/>
      <c r="W32" s="28"/>
      <c r="X32" s="28"/>
      <c r="Y32" s="28"/>
      <c r="Z32" s="1">
        <v>25</v>
      </c>
      <c r="AA32" s="1">
        <v>25</v>
      </c>
      <c r="AB32" s="1">
        <v>25</v>
      </c>
      <c r="AC32" s="1">
        <v>25</v>
      </c>
      <c r="AD32" s="582"/>
      <c r="AE32" s="582">
        <v>0</v>
      </c>
      <c r="AF32" s="582"/>
      <c r="AG32" s="582">
        <v>0</v>
      </c>
      <c r="AH32" s="582">
        <v>0</v>
      </c>
      <c r="AI32" s="582">
        <v>0</v>
      </c>
      <c r="AJ32" s="582"/>
      <c r="AK32" s="582"/>
      <c r="AL32" s="582"/>
      <c r="AM32" s="582"/>
      <c r="AN32" s="582"/>
      <c r="AO32" s="582"/>
      <c r="AP32" s="582"/>
      <c r="AQ32" s="582"/>
      <c r="AR32" s="582">
        <v>0</v>
      </c>
      <c r="AS32" s="582">
        <f>29648000+50000000</f>
        <v>79648000</v>
      </c>
      <c r="AT32" s="593">
        <f t="shared" si="1"/>
        <v>79648000</v>
      </c>
      <c r="AU32" s="36"/>
      <c r="AV32" s="36"/>
      <c r="AW32" s="36"/>
      <c r="AX32" s="36"/>
      <c r="AY32" s="36"/>
      <c r="AZ32" s="36"/>
      <c r="BA32" s="36"/>
      <c r="BB32" s="36"/>
      <c r="BC32" s="36"/>
      <c r="BD32" s="36"/>
      <c r="BE32" s="36"/>
      <c r="BF32" s="36"/>
      <c r="BG32" s="36"/>
      <c r="BH32" s="36"/>
      <c r="BI32" s="36"/>
      <c r="BJ32" s="36"/>
      <c r="BK32" s="57"/>
      <c r="BL32" s="26" t="s">
        <v>85</v>
      </c>
      <c r="BM32" s="27"/>
      <c r="BO32" s="606"/>
    </row>
    <row r="33" spans="1:67" s="38" customFormat="1" ht="102">
      <c r="A33" s="31" t="s">
        <v>6</v>
      </c>
      <c r="B33" s="31" t="s">
        <v>22</v>
      </c>
      <c r="C33" s="31" t="s">
        <v>11</v>
      </c>
      <c r="D33" s="55">
        <v>19</v>
      </c>
      <c r="E33" s="53" t="s">
        <v>23</v>
      </c>
      <c r="F33" s="54">
        <v>1903</v>
      </c>
      <c r="G33" s="31" t="s">
        <v>24</v>
      </c>
      <c r="H33" s="49" t="s">
        <v>25</v>
      </c>
      <c r="I33" s="31" t="s">
        <v>26</v>
      </c>
      <c r="J33" s="49">
        <v>190301100</v>
      </c>
      <c r="K33" s="636"/>
      <c r="L33" s="56">
        <v>2267</v>
      </c>
      <c r="M33" s="27" t="s">
        <v>138</v>
      </c>
      <c r="N33" s="27"/>
      <c r="O33" s="37"/>
      <c r="P33" s="74">
        <f t="shared" si="2"/>
        <v>0</v>
      </c>
      <c r="Q33" s="58" t="s">
        <v>1201</v>
      </c>
      <c r="R33" s="1">
        <v>100</v>
      </c>
      <c r="S33" s="1" t="s">
        <v>128</v>
      </c>
      <c r="T33" s="27" t="s">
        <v>117</v>
      </c>
      <c r="U33" s="27" t="s">
        <v>119</v>
      </c>
      <c r="V33" s="28"/>
      <c r="W33" s="28"/>
      <c r="X33" s="28"/>
      <c r="Y33" s="28"/>
      <c r="Z33" s="1">
        <v>25</v>
      </c>
      <c r="AA33" s="1">
        <v>25</v>
      </c>
      <c r="AB33" s="1">
        <v>25</v>
      </c>
      <c r="AC33" s="1">
        <v>25</v>
      </c>
      <c r="AD33" s="582"/>
      <c r="AE33" s="582">
        <v>0</v>
      </c>
      <c r="AF33" s="582"/>
      <c r="AG33" s="582">
        <v>0</v>
      </c>
      <c r="AH33" s="582">
        <v>0</v>
      </c>
      <c r="AI33" s="582">
        <v>0</v>
      </c>
      <c r="AJ33" s="582"/>
      <c r="AK33" s="582"/>
      <c r="AL33" s="582"/>
      <c r="AM33" s="582"/>
      <c r="AN33" s="582"/>
      <c r="AO33" s="582"/>
      <c r="AP33" s="582"/>
      <c r="AQ33" s="582"/>
      <c r="AR33" s="582">
        <v>0</v>
      </c>
      <c r="AS33" s="582">
        <f>66108500+50000000</f>
        <v>116108500</v>
      </c>
      <c r="AT33" s="593">
        <f t="shared" si="1"/>
        <v>116108500</v>
      </c>
      <c r="AU33" s="36"/>
      <c r="AV33" s="36"/>
      <c r="AW33" s="36"/>
      <c r="AX33" s="36"/>
      <c r="AY33" s="36"/>
      <c r="AZ33" s="36"/>
      <c r="BA33" s="36"/>
      <c r="BB33" s="36"/>
      <c r="BC33" s="36"/>
      <c r="BD33" s="36"/>
      <c r="BE33" s="36"/>
      <c r="BF33" s="36"/>
      <c r="BG33" s="36"/>
      <c r="BH33" s="36"/>
      <c r="BI33" s="36"/>
      <c r="BJ33" s="36"/>
      <c r="BK33" s="36"/>
      <c r="BL33" s="26" t="s">
        <v>85</v>
      </c>
      <c r="BM33" s="27"/>
      <c r="BO33" s="606"/>
    </row>
    <row r="34" spans="1:67" s="38" customFormat="1" ht="102">
      <c r="A34" s="31" t="s">
        <v>6</v>
      </c>
      <c r="B34" s="31" t="s">
        <v>22</v>
      </c>
      <c r="C34" s="31" t="s">
        <v>11</v>
      </c>
      <c r="D34" s="55">
        <v>19</v>
      </c>
      <c r="E34" s="53" t="s">
        <v>23</v>
      </c>
      <c r="F34" s="54">
        <v>1903</v>
      </c>
      <c r="G34" s="31" t="s">
        <v>24</v>
      </c>
      <c r="H34" s="49" t="s">
        <v>25</v>
      </c>
      <c r="I34" s="31" t="s">
        <v>26</v>
      </c>
      <c r="J34" s="49">
        <v>190301100</v>
      </c>
      <c r="K34" s="636"/>
      <c r="L34" s="56">
        <v>26</v>
      </c>
      <c r="M34" s="27" t="s">
        <v>138</v>
      </c>
      <c r="N34" s="27"/>
      <c r="O34" s="37"/>
      <c r="P34" s="74">
        <f t="shared" si="2"/>
        <v>0</v>
      </c>
      <c r="Q34" s="67" t="s">
        <v>1202</v>
      </c>
      <c r="R34" s="1">
        <v>100</v>
      </c>
      <c r="S34" s="1" t="s">
        <v>128</v>
      </c>
      <c r="T34" s="27" t="s">
        <v>117</v>
      </c>
      <c r="U34" s="27" t="s">
        <v>119</v>
      </c>
      <c r="V34" s="28"/>
      <c r="W34" s="28"/>
      <c r="X34" s="28"/>
      <c r="Y34" s="28"/>
      <c r="Z34" s="1">
        <v>25</v>
      </c>
      <c r="AA34" s="1">
        <v>25</v>
      </c>
      <c r="AB34" s="1">
        <v>25</v>
      </c>
      <c r="AC34" s="1">
        <v>25</v>
      </c>
      <c r="AD34" s="582"/>
      <c r="AE34" s="582">
        <v>0</v>
      </c>
      <c r="AF34" s="582"/>
      <c r="AG34" s="582">
        <v>0</v>
      </c>
      <c r="AH34" s="582">
        <v>0</v>
      </c>
      <c r="AI34" s="582">
        <v>0</v>
      </c>
      <c r="AJ34" s="582"/>
      <c r="AK34" s="582"/>
      <c r="AL34" s="582"/>
      <c r="AM34" s="582"/>
      <c r="AN34" s="582"/>
      <c r="AO34" s="582"/>
      <c r="AP34" s="582"/>
      <c r="AQ34" s="582"/>
      <c r="AR34" s="582">
        <v>0</v>
      </c>
      <c r="AS34" s="582">
        <f>54500000+49743500</f>
        <v>104243500</v>
      </c>
      <c r="AT34" s="593">
        <f t="shared" si="1"/>
        <v>104243500</v>
      </c>
      <c r="AU34" s="36"/>
      <c r="AV34" s="36"/>
      <c r="AW34" s="36"/>
      <c r="AX34" s="36"/>
      <c r="AY34" s="36"/>
      <c r="AZ34" s="36"/>
      <c r="BA34" s="36"/>
      <c r="BB34" s="36"/>
      <c r="BC34" s="36"/>
      <c r="BD34" s="36"/>
      <c r="BE34" s="36"/>
      <c r="BF34" s="36"/>
      <c r="BG34" s="36"/>
      <c r="BH34" s="36"/>
      <c r="BI34" s="36"/>
      <c r="BJ34" s="36"/>
      <c r="BK34" s="36"/>
      <c r="BL34" s="26" t="s">
        <v>85</v>
      </c>
      <c r="BM34" s="27"/>
      <c r="BO34" s="606"/>
    </row>
    <row r="35" spans="1:67" s="38" customFormat="1" ht="84" customHeight="1">
      <c r="A35" s="31" t="s">
        <v>6</v>
      </c>
      <c r="B35" s="31" t="s">
        <v>22</v>
      </c>
      <c r="C35" s="31" t="s">
        <v>11</v>
      </c>
      <c r="D35" s="55">
        <v>19</v>
      </c>
      <c r="E35" s="53" t="s">
        <v>23</v>
      </c>
      <c r="F35" s="54">
        <v>1903</v>
      </c>
      <c r="G35" s="31" t="s">
        <v>24</v>
      </c>
      <c r="H35" s="49" t="s">
        <v>25</v>
      </c>
      <c r="I35" s="31" t="s">
        <v>26</v>
      </c>
      <c r="J35" s="49">
        <v>190301100</v>
      </c>
      <c r="K35" s="636"/>
      <c r="L35" s="56">
        <v>696</v>
      </c>
      <c r="M35" s="27" t="s">
        <v>138</v>
      </c>
      <c r="N35" s="27"/>
      <c r="O35" s="37"/>
      <c r="P35" s="74">
        <f t="shared" si="2"/>
        <v>0</v>
      </c>
      <c r="Q35" s="67" t="s">
        <v>1203</v>
      </c>
      <c r="R35" s="1">
        <v>100</v>
      </c>
      <c r="S35" s="1" t="s">
        <v>128</v>
      </c>
      <c r="T35" s="27" t="s">
        <v>117</v>
      </c>
      <c r="U35" s="27" t="s">
        <v>119</v>
      </c>
      <c r="V35" s="28"/>
      <c r="W35" s="28"/>
      <c r="X35" s="28"/>
      <c r="Y35" s="28"/>
      <c r="Z35" s="1">
        <v>25</v>
      </c>
      <c r="AA35" s="1">
        <v>25</v>
      </c>
      <c r="AB35" s="1">
        <v>25</v>
      </c>
      <c r="AC35" s="1">
        <v>25</v>
      </c>
      <c r="AD35" s="582"/>
      <c r="AE35" s="582">
        <v>0</v>
      </c>
      <c r="AF35" s="582"/>
      <c r="AG35" s="582">
        <v>0</v>
      </c>
      <c r="AH35" s="582">
        <v>0</v>
      </c>
      <c r="AI35" s="582">
        <v>0</v>
      </c>
      <c r="AJ35" s="582"/>
      <c r="AK35" s="582"/>
      <c r="AL35" s="582"/>
      <c r="AM35" s="582"/>
      <c r="AN35" s="582"/>
      <c r="AO35" s="582"/>
      <c r="AP35" s="582"/>
      <c r="AQ35" s="582"/>
      <c r="AR35" s="582">
        <v>0</v>
      </c>
      <c r="AS35" s="582">
        <v>446137</v>
      </c>
      <c r="AT35" s="593">
        <f t="shared" si="1"/>
        <v>446137</v>
      </c>
      <c r="AU35" s="36"/>
      <c r="AV35" s="36"/>
      <c r="AW35" s="36"/>
      <c r="AX35" s="36"/>
      <c r="AY35" s="36"/>
      <c r="AZ35" s="36"/>
      <c r="BA35" s="36"/>
      <c r="BB35" s="36"/>
      <c r="BC35" s="36"/>
      <c r="BD35" s="36"/>
      <c r="BE35" s="36"/>
      <c r="BF35" s="36"/>
      <c r="BG35" s="36"/>
      <c r="BH35" s="36"/>
      <c r="BI35" s="36"/>
      <c r="BJ35" s="36"/>
      <c r="BK35" s="36"/>
      <c r="BL35" s="26" t="s">
        <v>85</v>
      </c>
      <c r="BM35" s="27"/>
      <c r="BO35" s="606"/>
    </row>
    <row r="36" spans="1:67" s="38" customFormat="1" ht="102">
      <c r="A36" s="31" t="s">
        <v>6</v>
      </c>
      <c r="B36" s="31" t="s">
        <v>22</v>
      </c>
      <c r="C36" s="31" t="s">
        <v>11</v>
      </c>
      <c r="D36" s="34">
        <v>19</v>
      </c>
      <c r="E36" s="53" t="s">
        <v>23</v>
      </c>
      <c r="F36" s="54">
        <v>1903</v>
      </c>
      <c r="G36" s="31" t="s">
        <v>24</v>
      </c>
      <c r="H36" s="49" t="s">
        <v>25</v>
      </c>
      <c r="I36" s="31" t="s">
        <v>26</v>
      </c>
      <c r="J36" s="49">
        <v>190301100</v>
      </c>
      <c r="K36" s="636"/>
      <c r="L36" s="56">
        <v>652</v>
      </c>
      <c r="M36" s="27" t="s">
        <v>138</v>
      </c>
      <c r="N36" s="27"/>
      <c r="O36" s="37"/>
      <c r="P36" s="74">
        <f t="shared" si="2"/>
        <v>0</v>
      </c>
      <c r="Q36" s="58" t="s">
        <v>1204</v>
      </c>
      <c r="R36" s="1">
        <v>100</v>
      </c>
      <c r="S36" s="1" t="s">
        <v>128</v>
      </c>
      <c r="T36" s="27" t="s">
        <v>117</v>
      </c>
      <c r="U36" s="27" t="s">
        <v>119</v>
      </c>
      <c r="V36" s="28"/>
      <c r="W36" s="28"/>
      <c r="X36" s="28"/>
      <c r="Y36" s="28"/>
      <c r="Z36" s="1">
        <v>25</v>
      </c>
      <c r="AA36" s="1">
        <v>25</v>
      </c>
      <c r="AB36" s="1">
        <v>25</v>
      </c>
      <c r="AC36" s="1">
        <v>25</v>
      </c>
      <c r="AD36" s="582"/>
      <c r="AE36" s="582">
        <v>0</v>
      </c>
      <c r="AF36" s="582"/>
      <c r="AG36" s="582">
        <v>0</v>
      </c>
      <c r="AH36" s="582">
        <v>0</v>
      </c>
      <c r="AI36" s="582">
        <v>0</v>
      </c>
      <c r="AJ36" s="582"/>
      <c r="AK36" s="582"/>
      <c r="AL36" s="582"/>
      <c r="AM36" s="582"/>
      <c r="AN36" s="582"/>
      <c r="AO36" s="582"/>
      <c r="AP36" s="582"/>
      <c r="AQ36" s="582"/>
      <c r="AR36" s="582">
        <v>0</v>
      </c>
      <c r="AS36" s="582">
        <v>104357363</v>
      </c>
      <c r="AT36" s="593">
        <f t="shared" si="1"/>
        <v>104357363</v>
      </c>
      <c r="AU36" s="36"/>
      <c r="AV36" s="36"/>
      <c r="AW36" s="36"/>
      <c r="AX36" s="36"/>
      <c r="AY36" s="36"/>
      <c r="AZ36" s="36"/>
      <c r="BA36" s="36"/>
      <c r="BB36" s="36"/>
      <c r="BC36" s="36"/>
      <c r="BD36" s="36"/>
      <c r="BE36" s="36"/>
      <c r="BF36" s="36"/>
      <c r="BG36" s="36"/>
      <c r="BH36" s="36"/>
      <c r="BI36" s="36"/>
      <c r="BJ36" s="36"/>
      <c r="BK36" s="36"/>
      <c r="BL36" s="26" t="s">
        <v>85</v>
      </c>
      <c r="BM36" s="27"/>
      <c r="BO36" s="606"/>
    </row>
    <row r="37" spans="1:67" s="38" customFormat="1" ht="102">
      <c r="A37" s="31" t="s">
        <v>6</v>
      </c>
      <c r="B37" s="31" t="s">
        <v>22</v>
      </c>
      <c r="C37" s="31" t="s">
        <v>11</v>
      </c>
      <c r="D37" s="34">
        <v>19</v>
      </c>
      <c r="E37" s="53" t="s">
        <v>23</v>
      </c>
      <c r="F37" s="54">
        <v>1903</v>
      </c>
      <c r="G37" s="31" t="s">
        <v>24</v>
      </c>
      <c r="H37" s="49" t="s">
        <v>25</v>
      </c>
      <c r="I37" s="31" t="s">
        <v>26</v>
      </c>
      <c r="J37" s="49">
        <v>190301100</v>
      </c>
      <c r="K37" s="636"/>
      <c r="L37" s="56">
        <v>4</v>
      </c>
      <c r="M37" s="27" t="s">
        <v>138</v>
      </c>
      <c r="N37" s="27"/>
      <c r="O37" s="1"/>
      <c r="P37" s="74">
        <f t="shared" si="2"/>
        <v>0</v>
      </c>
      <c r="Q37" s="58" t="s">
        <v>1205</v>
      </c>
      <c r="R37" s="1">
        <v>100</v>
      </c>
      <c r="S37" s="1" t="s">
        <v>128</v>
      </c>
      <c r="T37" s="27" t="s">
        <v>117</v>
      </c>
      <c r="U37" s="27" t="s">
        <v>119</v>
      </c>
      <c r="V37" s="28"/>
      <c r="W37" s="28"/>
      <c r="X37" s="28"/>
      <c r="Y37" s="28"/>
      <c r="Z37" s="1">
        <v>25</v>
      </c>
      <c r="AA37" s="1">
        <v>25</v>
      </c>
      <c r="AB37" s="1">
        <v>25</v>
      </c>
      <c r="AC37" s="1">
        <v>25</v>
      </c>
      <c r="AD37" s="582"/>
      <c r="AE37" s="582">
        <v>0</v>
      </c>
      <c r="AF37" s="582"/>
      <c r="AG37" s="582">
        <v>0</v>
      </c>
      <c r="AH37" s="582">
        <v>0</v>
      </c>
      <c r="AI37" s="582">
        <v>0</v>
      </c>
      <c r="AJ37" s="582"/>
      <c r="AK37" s="582"/>
      <c r="AL37" s="582"/>
      <c r="AM37" s="582"/>
      <c r="AN37" s="582"/>
      <c r="AO37" s="582"/>
      <c r="AP37" s="582"/>
      <c r="AQ37" s="582"/>
      <c r="AR37" s="582">
        <v>0</v>
      </c>
      <c r="AS37" s="582">
        <f>126440000-31243500</f>
        <v>95196500</v>
      </c>
      <c r="AT37" s="593">
        <f t="shared" si="1"/>
        <v>95196500</v>
      </c>
      <c r="AU37" s="36"/>
      <c r="AV37" s="36"/>
      <c r="AW37" s="36"/>
      <c r="AX37" s="36"/>
      <c r="AY37" s="36"/>
      <c r="AZ37" s="36"/>
      <c r="BA37" s="36"/>
      <c r="BB37" s="36"/>
      <c r="BC37" s="36"/>
      <c r="BD37" s="36"/>
      <c r="BE37" s="36"/>
      <c r="BF37" s="36"/>
      <c r="BG37" s="36"/>
      <c r="BH37" s="36"/>
      <c r="BI37" s="36"/>
      <c r="BJ37" s="36"/>
      <c r="BK37" s="36"/>
      <c r="BL37" s="26" t="s">
        <v>85</v>
      </c>
      <c r="BM37" s="27"/>
      <c r="BO37" s="606"/>
    </row>
    <row r="38" spans="1:67" s="38" customFormat="1" ht="102">
      <c r="A38" s="28" t="s">
        <v>6</v>
      </c>
      <c r="B38" s="26" t="s">
        <v>22</v>
      </c>
      <c r="C38" s="28" t="s">
        <v>11</v>
      </c>
      <c r="D38" s="34">
        <v>19</v>
      </c>
      <c r="E38" s="35" t="s">
        <v>23</v>
      </c>
      <c r="F38" s="34">
        <v>1903</v>
      </c>
      <c r="G38" s="28" t="s">
        <v>27</v>
      </c>
      <c r="H38" s="27">
        <v>1903025</v>
      </c>
      <c r="I38" s="28" t="s">
        <v>28</v>
      </c>
      <c r="J38" s="27">
        <v>190302500</v>
      </c>
      <c r="K38" s="1">
        <v>1</v>
      </c>
      <c r="L38" s="56">
        <v>1</v>
      </c>
      <c r="M38" s="27" t="s">
        <v>141</v>
      </c>
      <c r="N38" s="27"/>
      <c r="O38" s="1"/>
      <c r="P38" s="74">
        <f t="shared" si="2"/>
        <v>0</v>
      </c>
      <c r="Q38" s="58" t="s">
        <v>1206</v>
      </c>
      <c r="R38" s="1">
        <v>100</v>
      </c>
      <c r="S38" s="1" t="s">
        <v>128</v>
      </c>
      <c r="T38" s="27" t="s">
        <v>117</v>
      </c>
      <c r="U38" s="27" t="s">
        <v>119</v>
      </c>
      <c r="V38" s="28"/>
      <c r="W38" s="28"/>
      <c r="X38" s="28"/>
      <c r="Y38" s="28"/>
      <c r="Z38" s="1">
        <v>25</v>
      </c>
      <c r="AA38" s="1">
        <v>25</v>
      </c>
      <c r="AB38" s="1">
        <v>25</v>
      </c>
      <c r="AC38" s="1">
        <v>25</v>
      </c>
      <c r="AD38" s="582"/>
      <c r="AE38" s="582">
        <v>0</v>
      </c>
      <c r="AF38" s="577">
        <v>38150000</v>
      </c>
      <c r="AG38" s="582">
        <v>0</v>
      </c>
      <c r="AH38" s="582">
        <v>0</v>
      </c>
      <c r="AI38" s="582">
        <v>0</v>
      </c>
      <c r="AJ38" s="582"/>
      <c r="AK38" s="582"/>
      <c r="AL38" s="582"/>
      <c r="AM38" s="582"/>
      <c r="AN38" s="582"/>
      <c r="AO38" s="582"/>
      <c r="AP38" s="582"/>
      <c r="AQ38" s="582"/>
      <c r="AR38" s="582">
        <v>0</v>
      </c>
      <c r="AS38" s="582"/>
      <c r="AT38" s="593">
        <f t="shared" si="1"/>
        <v>38150000</v>
      </c>
      <c r="AU38" s="36"/>
      <c r="AV38" s="36"/>
      <c r="AW38" s="36"/>
      <c r="AX38" s="36"/>
      <c r="AY38" s="36"/>
      <c r="AZ38" s="36"/>
      <c r="BA38" s="36"/>
      <c r="BB38" s="36"/>
      <c r="BC38" s="36"/>
      <c r="BD38" s="36"/>
      <c r="BE38" s="36"/>
      <c r="BF38" s="36"/>
      <c r="BG38" s="36"/>
      <c r="BH38" s="36"/>
      <c r="BI38" s="36"/>
      <c r="BJ38" s="36"/>
      <c r="BK38" s="57"/>
      <c r="BL38" s="26" t="s">
        <v>85</v>
      </c>
      <c r="BM38" s="27"/>
      <c r="BO38" s="606"/>
    </row>
    <row r="39" spans="1:67" s="38" customFormat="1" ht="102">
      <c r="A39" s="28" t="s">
        <v>6</v>
      </c>
      <c r="B39" s="26" t="s">
        <v>22</v>
      </c>
      <c r="C39" s="28" t="s">
        <v>11</v>
      </c>
      <c r="D39" s="34">
        <v>19</v>
      </c>
      <c r="E39" s="35" t="s">
        <v>23</v>
      </c>
      <c r="F39" s="34">
        <v>1903</v>
      </c>
      <c r="G39" s="28" t="s">
        <v>27</v>
      </c>
      <c r="H39" s="27">
        <v>1903025</v>
      </c>
      <c r="I39" s="28" t="s">
        <v>28</v>
      </c>
      <c r="J39" s="27">
        <v>190302500</v>
      </c>
      <c r="K39" s="1">
        <v>1</v>
      </c>
      <c r="L39" s="56" t="s">
        <v>113</v>
      </c>
      <c r="M39" s="27" t="s">
        <v>142</v>
      </c>
      <c r="N39" s="27"/>
      <c r="O39" s="1"/>
      <c r="P39" s="74">
        <f t="shared" si="2"/>
        <v>0</v>
      </c>
      <c r="Q39" s="58" t="s">
        <v>140</v>
      </c>
      <c r="R39" s="1">
        <v>100</v>
      </c>
      <c r="S39" s="1" t="s">
        <v>128</v>
      </c>
      <c r="T39" s="27" t="s">
        <v>117</v>
      </c>
      <c r="U39" s="27" t="s">
        <v>119</v>
      </c>
      <c r="V39" s="28"/>
      <c r="W39" s="28"/>
      <c r="X39" s="28"/>
      <c r="Y39" s="28"/>
      <c r="Z39" s="1">
        <v>25</v>
      </c>
      <c r="AA39" s="1">
        <v>25</v>
      </c>
      <c r="AB39" s="1">
        <v>25</v>
      </c>
      <c r="AC39" s="1">
        <v>25</v>
      </c>
      <c r="AD39" s="582"/>
      <c r="AE39" s="582">
        <v>0</v>
      </c>
      <c r="AF39" s="595"/>
      <c r="AG39" s="582">
        <v>0</v>
      </c>
      <c r="AH39" s="582">
        <v>0</v>
      </c>
      <c r="AI39" s="582">
        <v>0</v>
      </c>
      <c r="AJ39" s="582"/>
      <c r="AK39" s="582"/>
      <c r="AL39" s="582"/>
      <c r="AM39" s="582"/>
      <c r="AN39" s="582"/>
      <c r="AO39" s="582"/>
      <c r="AP39" s="582"/>
      <c r="AQ39" s="588">
        <v>46216000</v>
      </c>
      <c r="AR39" s="582">
        <v>0</v>
      </c>
      <c r="AS39" s="582"/>
      <c r="AT39" s="593">
        <f t="shared" si="1"/>
        <v>46216000</v>
      </c>
      <c r="AU39" s="36"/>
      <c r="AV39" s="36"/>
      <c r="AW39" s="36"/>
      <c r="AX39" s="36"/>
      <c r="AY39" s="36"/>
      <c r="AZ39" s="36"/>
      <c r="BA39" s="36"/>
      <c r="BB39" s="36"/>
      <c r="BC39" s="36"/>
      <c r="BD39" s="36"/>
      <c r="BE39" s="36"/>
      <c r="BF39" s="36"/>
      <c r="BG39" s="36"/>
      <c r="BH39" s="36"/>
      <c r="BI39" s="36"/>
      <c r="BJ39" s="36"/>
      <c r="BK39" s="57"/>
      <c r="BL39" s="26" t="s">
        <v>85</v>
      </c>
      <c r="BM39" s="27"/>
      <c r="BO39" s="606"/>
    </row>
    <row r="40" spans="1:67" s="38" customFormat="1" ht="132.6" customHeight="1">
      <c r="A40" s="28" t="s">
        <v>6</v>
      </c>
      <c r="B40" s="26" t="s">
        <v>22</v>
      </c>
      <c r="C40" s="28" t="s">
        <v>11</v>
      </c>
      <c r="D40" s="34">
        <v>19</v>
      </c>
      <c r="E40" s="35" t="s">
        <v>23</v>
      </c>
      <c r="F40" s="34">
        <v>1903</v>
      </c>
      <c r="G40" s="28" t="s">
        <v>29</v>
      </c>
      <c r="H40" s="27">
        <v>1903016</v>
      </c>
      <c r="I40" s="28" t="s">
        <v>30</v>
      </c>
      <c r="J40" s="27">
        <v>190301600</v>
      </c>
      <c r="K40" s="635">
        <v>44</v>
      </c>
      <c r="L40" s="635">
        <v>26</v>
      </c>
      <c r="M40" s="27" t="s">
        <v>150</v>
      </c>
      <c r="N40" s="27"/>
      <c r="O40" s="1"/>
      <c r="P40" s="74">
        <f t="shared" si="2"/>
        <v>0</v>
      </c>
      <c r="Q40" s="58" t="s">
        <v>143</v>
      </c>
      <c r="R40" s="1">
        <v>4</v>
      </c>
      <c r="S40" s="1" t="s">
        <v>118</v>
      </c>
      <c r="T40" s="27" t="s">
        <v>117</v>
      </c>
      <c r="U40" s="27" t="s">
        <v>119</v>
      </c>
      <c r="V40" s="28"/>
      <c r="W40" s="28"/>
      <c r="X40" s="28"/>
      <c r="Y40" s="28"/>
      <c r="Z40" s="1">
        <v>0</v>
      </c>
      <c r="AA40" s="1">
        <v>1</v>
      </c>
      <c r="AB40" s="1">
        <v>2</v>
      </c>
      <c r="AC40" s="1">
        <v>1</v>
      </c>
      <c r="AD40" s="582"/>
      <c r="AE40" s="582"/>
      <c r="AF40" s="584">
        <v>27468000</v>
      </c>
      <c r="AG40" s="582"/>
      <c r="AH40" s="582"/>
      <c r="AI40" s="582"/>
      <c r="AJ40" s="582"/>
      <c r="AK40" s="582"/>
      <c r="AL40" s="582"/>
      <c r="AM40" s="582"/>
      <c r="AN40" s="582"/>
      <c r="AO40" s="582"/>
      <c r="AP40" s="582"/>
      <c r="AQ40" s="582"/>
      <c r="AR40" s="582"/>
      <c r="AS40" s="582"/>
      <c r="AT40" s="593">
        <f t="shared" si="1"/>
        <v>27468000</v>
      </c>
      <c r="AU40" s="36"/>
      <c r="AV40" s="36"/>
      <c r="AW40" s="36"/>
      <c r="AX40" s="36"/>
      <c r="AY40" s="36"/>
      <c r="AZ40" s="36"/>
      <c r="BA40" s="36"/>
      <c r="BB40" s="36"/>
      <c r="BC40" s="36"/>
      <c r="BD40" s="36"/>
      <c r="BE40" s="36"/>
      <c r="BF40" s="36"/>
      <c r="BG40" s="36"/>
      <c r="BH40" s="36"/>
      <c r="BI40" s="36"/>
      <c r="BJ40" s="36"/>
      <c r="BK40" s="57"/>
      <c r="BL40" s="26" t="s">
        <v>85</v>
      </c>
      <c r="BM40" s="42"/>
      <c r="BO40" s="606"/>
    </row>
    <row r="41" spans="1:67" s="38" customFormat="1" ht="102">
      <c r="A41" s="28" t="s">
        <v>6</v>
      </c>
      <c r="B41" s="26" t="s">
        <v>22</v>
      </c>
      <c r="C41" s="28" t="s">
        <v>11</v>
      </c>
      <c r="D41" s="34">
        <v>19</v>
      </c>
      <c r="E41" s="35" t="s">
        <v>23</v>
      </c>
      <c r="F41" s="34">
        <v>1903</v>
      </c>
      <c r="G41" s="28" t="s">
        <v>29</v>
      </c>
      <c r="H41" s="27">
        <v>1903016</v>
      </c>
      <c r="I41" s="28" t="s">
        <v>30</v>
      </c>
      <c r="J41" s="27">
        <v>190301600</v>
      </c>
      <c r="K41" s="636"/>
      <c r="L41" s="636"/>
      <c r="M41" s="27" t="s">
        <v>151</v>
      </c>
      <c r="N41" s="27"/>
      <c r="O41" s="1"/>
      <c r="P41" s="74">
        <f t="shared" si="2"/>
        <v>0</v>
      </c>
      <c r="Q41" s="58" t="s">
        <v>144</v>
      </c>
      <c r="R41" s="1">
        <v>1</v>
      </c>
      <c r="S41" s="1" t="s">
        <v>118</v>
      </c>
      <c r="T41" s="27" t="s">
        <v>117</v>
      </c>
      <c r="U41" s="27" t="s">
        <v>119</v>
      </c>
      <c r="V41" s="28"/>
      <c r="W41" s="28"/>
      <c r="X41" s="28"/>
      <c r="Y41" s="28"/>
      <c r="Z41" s="1">
        <v>0</v>
      </c>
      <c r="AA41" s="1">
        <v>0</v>
      </c>
      <c r="AB41" s="1">
        <v>0</v>
      </c>
      <c r="AC41" s="1">
        <v>1</v>
      </c>
      <c r="AD41" s="582"/>
      <c r="AE41" s="582"/>
      <c r="AF41" s="584">
        <v>37194939.82</v>
      </c>
      <c r="AG41" s="582"/>
      <c r="AH41" s="582"/>
      <c r="AI41" s="582"/>
      <c r="AJ41" s="582"/>
      <c r="AK41" s="582"/>
      <c r="AL41" s="582"/>
      <c r="AM41" s="582"/>
      <c r="AN41" s="582"/>
      <c r="AO41" s="582"/>
      <c r="AP41" s="582"/>
      <c r="AQ41" s="582"/>
      <c r="AR41" s="582"/>
      <c r="AS41" s="582"/>
      <c r="AT41" s="593">
        <f t="shared" si="1"/>
        <v>37194939.82</v>
      </c>
      <c r="AU41" s="36"/>
      <c r="AV41" s="36"/>
      <c r="AW41" s="36"/>
      <c r="AX41" s="36"/>
      <c r="AY41" s="36"/>
      <c r="AZ41" s="36"/>
      <c r="BA41" s="36"/>
      <c r="BB41" s="36"/>
      <c r="BC41" s="36"/>
      <c r="BD41" s="36"/>
      <c r="BE41" s="36"/>
      <c r="BF41" s="36"/>
      <c r="BG41" s="36"/>
      <c r="BH41" s="36"/>
      <c r="BI41" s="36"/>
      <c r="BJ41" s="36"/>
      <c r="BK41" s="57"/>
      <c r="BL41" s="26" t="s">
        <v>85</v>
      </c>
      <c r="BM41" s="42"/>
      <c r="BO41" s="606"/>
    </row>
    <row r="42" spans="1:67" s="38" customFormat="1" ht="102">
      <c r="A42" s="28" t="s">
        <v>6</v>
      </c>
      <c r="B42" s="26" t="s">
        <v>22</v>
      </c>
      <c r="C42" s="28" t="s">
        <v>11</v>
      </c>
      <c r="D42" s="34">
        <v>19</v>
      </c>
      <c r="E42" s="35" t="s">
        <v>23</v>
      </c>
      <c r="F42" s="34">
        <v>1903</v>
      </c>
      <c r="G42" s="28" t="s">
        <v>29</v>
      </c>
      <c r="H42" s="27">
        <v>1903016</v>
      </c>
      <c r="I42" s="28" t="s">
        <v>30</v>
      </c>
      <c r="J42" s="27">
        <v>190301600</v>
      </c>
      <c r="K42" s="636"/>
      <c r="L42" s="636"/>
      <c r="M42" s="27" t="s">
        <v>152</v>
      </c>
      <c r="N42" s="27"/>
      <c r="O42" s="1"/>
      <c r="P42" s="74">
        <f t="shared" si="2"/>
        <v>0</v>
      </c>
      <c r="Q42" s="68" t="s">
        <v>1207</v>
      </c>
      <c r="R42" s="1">
        <v>100</v>
      </c>
      <c r="S42" s="1" t="s">
        <v>118</v>
      </c>
      <c r="T42" s="27" t="s">
        <v>117</v>
      </c>
      <c r="U42" s="27" t="s">
        <v>119</v>
      </c>
      <c r="V42" s="28"/>
      <c r="W42" s="28"/>
      <c r="X42" s="28"/>
      <c r="Y42" s="28"/>
      <c r="Z42" s="1">
        <v>25</v>
      </c>
      <c r="AA42" s="1">
        <v>25</v>
      </c>
      <c r="AB42" s="1">
        <v>25</v>
      </c>
      <c r="AC42" s="1">
        <v>25</v>
      </c>
      <c r="AD42" s="582"/>
      <c r="AE42" s="582"/>
      <c r="AF42" s="584">
        <v>40248250</v>
      </c>
      <c r="AG42" s="582"/>
      <c r="AH42" s="582"/>
      <c r="AI42" s="582"/>
      <c r="AJ42" s="582"/>
      <c r="AK42" s="582"/>
      <c r="AL42" s="582"/>
      <c r="AM42" s="582"/>
      <c r="AN42" s="582"/>
      <c r="AO42" s="582"/>
      <c r="AP42" s="582"/>
      <c r="AQ42" s="582"/>
      <c r="AR42" s="582"/>
      <c r="AS42" s="582"/>
      <c r="AT42" s="593">
        <f t="shared" si="1"/>
        <v>40248250</v>
      </c>
      <c r="AU42" s="36"/>
      <c r="AV42" s="36"/>
      <c r="AW42" s="36"/>
      <c r="AX42" s="36"/>
      <c r="AY42" s="36"/>
      <c r="AZ42" s="36"/>
      <c r="BA42" s="36"/>
      <c r="BB42" s="36"/>
      <c r="BC42" s="36"/>
      <c r="BD42" s="36"/>
      <c r="BE42" s="36"/>
      <c r="BF42" s="36"/>
      <c r="BG42" s="36"/>
      <c r="BH42" s="36"/>
      <c r="BI42" s="36"/>
      <c r="BJ42" s="36"/>
      <c r="BK42" s="57"/>
      <c r="BL42" s="26" t="s">
        <v>85</v>
      </c>
      <c r="BM42" s="42"/>
      <c r="BO42" s="606"/>
    </row>
    <row r="43" spans="1:67" s="38" customFormat="1" ht="114.75" customHeight="1">
      <c r="A43" s="28" t="s">
        <v>6</v>
      </c>
      <c r="B43" s="26" t="s">
        <v>22</v>
      </c>
      <c r="C43" s="28" t="s">
        <v>11</v>
      </c>
      <c r="D43" s="34">
        <v>19</v>
      </c>
      <c r="E43" s="35" t="s">
        <v>23</v>
      </c>
      <c r="F43" s="34">
        <v>1903</v>
      </c>
      <c r="G43" s="28" t="s">
        <v>29</v>
      </c>
      <c r="H43" s="27">
        <v>1903016</v>
      </c>
      <c r="I43" s="28" t="s">
        <v>30</v>
      </c>
      <c r="J43" s="27">
        <v>190301600</v>
      </c>
      <c r="K43" s="636"/>
      <c r="L43" s="636"/>
      <c r="M43" s="27" t="s">
        <v>153</v>
      </c>
      <c r="N43" s="27"/>
      <c r="O43" s="1"/>
      <c r="P43" s="74">
        <f t="shared" si="2"/>
        <v>0</v>
      </c>
      <c r="Q43" s="58" t="s">
        <v>1208</v>
      </c>
      <c r="R43" s="1">
        <v>3</v>
      </c>
      <c r="S43" s="1" t="s">
        <v>118</v>
      </c>
      <c r="T43" s="27" t="s">
        <v>117</v>
      </c>
      <c r="U43" s="27" t="s">
        <v>119</v>
      </c>
      <c r="V43" s="28"/>
      <c r="W43" s="28"/>
      <c r="X43" s="28"/>
      <c r="Y43" s="28"/>
      <c r="Z43" s="1">
        <v>0</v>
      </c>
      <c r="AA43" s="1">
        <v>1</v>
      </c>
      <c r="AB43" s="1">
        <v>1</v>
      </c>
      <c r="AC43" s="1">
        <v>1</v>
      </c>
      <c r="AD43" s="582"/>
      <c r="AE43" s="582"/>
      <c r="AF43" s="584">
        <v>74120000</v>
      </c>
      <c r="AG43" s="582"/>
      <c r="AH43" s="582"/>
      <c r="AI43" s="582"/>
      <c r="AJ43" s="582"/>
      <c r="AK43" s="582"/>
      <c r="AL43" s="582"/>
      <c r="AM43" s="582"/>
      <c r="AN43" s="582"/>
      <c r="AO43" s="582"/>
      <c r="AP43" s="582"/>
      <c r="AQ43" s="582"/>
      <c r="AR43" s="582"/>
      <c r="AS43" s="582"/>
      <c r="AT43" s="593">
        <f t="shared" si="1"/>
        <v>74120000</v>
      </c>
      <c r="AU43" s="36"/>
      <c r="AV43" s="36"/>
      <c r="AW43" s="36"/>
      <c r="AX43" s="36"/>
      <c r="AY43" s="36"/>
      <c r="AZ43" s="36"/>
      <c r="BA43" s="36"/>
      <c r="BB43" s="36"/>
      <c r="BC43" s="36"/>
      <c r="BD43" s="36"/>
      <c r="BE43" s="36"/>
      <c r="BF43" s="36"/>
      <c r="BG43" s="36"/>
      <c r="BH43" s="36"/>
      <c r="BI43" s="36"/>
      <c r="BJ43" s="36"/>
      <c r="BK43" s="57"/>
      <c r="BL43" s="26" t="s">
        <v>85</v>
      </c>
      <c r="BM43" s="42"/>
      <c r="BO43" s="606"/>
    </row>
    <row r="44" spans="1:67" s="38" customFormat="1" ht="102">
      <c r="A44" s="28" t="s">
        <v>6</v>
      </c>
      <c r="B44" s="26" t="s">
        <v>22</v>
      </c>
      <c r="C44" s="28" t="s">
        <v>11</v>
      </c>
      <c r="D44" s="34">
        <v>19</v>
      </c>
      <c r="E44" s="35" t="s">
        <v>23</v>
      </c>
      <c r="F44" s="34">
        <v>1903</v>
      </c>
      <c r="G44" s="28" t="s">
        <v>29</v>
      </c>
      <c r="H44" s="27">
        <v>1903016</v>
      </c>
      <c r="I44" s="28" t="s">
        <v>30</v>
      </c>
      <c r="J44" s="27">
        <v>190301600</v>
      </c>
      <c r="K44" s="636"/>
      <c r="L44" s="636"/>
      <c r="M44" s="27" t="s">
        <v>155</v>
      </c>
      <c r="N44" s="27"/>
      <c r="O44" s="1"/>
      <c r="P44" s="74">
        <f t="shared" si="2"/>
        <v>0</v>
      </c>
      <c r="Q44" s="627" t="s">
        <v>1214</v>
      </c>
      <c r="R44" s="1">
        <v>1</v>
      </c>
      <c r="S44" s="1" t="s">
        <v>118</v>
      </c>
      <c r="T44" s="27" t="s">
        <v>117</v>
      </c>
      <c r="U44" s="27" t="s">
        <v>119</v>
      </c>
      <c r="V44" s="28"/>
      <c r="W44" s="28"/>
      <c r="X44" s="28"/>
      <c r="Y44" s="28"/>
      <c r="Z44" s="1">
        <v>0</v>
      </c>
      <c r="AA44" s="1">
        <v>1</v>
      </c>
      <c r="AB44" s="1">
        <v>0</v>
      </c>
      <c r="AC44" s="1">
        <v>0</v>
      </c>
      <c r="AD44" s="582"/>
      <c r="AE44" s="582"/>
      <c r="AF44" s="582"/>
      <c r="AG44" s="582"/>
      <c r="AH44" s="582"/>
      <c r="AI44" s="582"/>
      <c r="AJ44" s="582"/>
      <c r="AK44" s="582"/>
      <c r="AL44" s="582"/>
      <c r="AM44" s="582"/>
      <c r="AN44" s="582"/>
      <c r="AO44" s="582"/>
      <c r="AP44" s="582"/>
      <c r="AQ44" s="620">
        <v>43000954.530000001</v>
      </c>
      <c r="AR44" s="582"/>
      <c r="AS44" s="582"/>
      <c r="AT44" s="593">
        <f t="shared" si="1"/>
        <v>43000954.530000001</v>
      </c>
      <c r="AU44" s="36"/>
      <c r="AV44" s="36"/>
      <c r="AW44" s="36"/>
      <c r="AX44" s="36"/>
      <c r="AY44" s="36"/>
      <c r="AZ44" s="36"/>
      <c r="BA44" s="36"/>
      <c r="BB44" s="36"/>
      <c r="BC44" s="36"/>
      <c r="BD44" s="36"/>
      <c r="BE44" s="36"/>
      <c r="BF44" s="36"/>
      <c r="BG44" s="36"/>
      <c r="BH44" s="36"/>
      <c r="BI44" s="36"/>
      <c r="BJ44" s="36"/>
      <c r="BK44" s="57"/>
      <c r="BL44" s="26" t="s">
        <v>85</v>
      </c>
      <c r="BM44" s="27" t="s">
        <v>158</v>
      </c>
      <c r="BO44" s="606"/>
    </row>
    <row r="45" spans="1:67" s="38" customFormat="1" ht="225" customHeight="1">
      <c r="A45" s="28" t="s">
        <v>6</v>
      </c>
      <c r="B45" s="26" t="s">
        <v>22</v>
      </c>
      <c r="C45" s="28" t="s">
        <v>11</v>
      </c>
      <c r="D45" s="34">
        <v>19</v>
      </c>
      <c r="E45" s="35" t="s">
        <v>23</v>
      </c>
      <c r="F45" s="34">
        <v>1903</v>
      </c>
      <c r="G45" s="28" t="s">
        <v>29</v>
      </c>
      <c r="H45" s="27">
        <v>1903016</v>
      </c>
      <c r="I45" s="28" t="s">
        <v>30</v>
      </c>
      <c r="J45" s="27">
        <v>190301600</v>
      </c>
      <c r="K45" s="636"/>
      <c r="L45" s="636"/>
      <c r="M45" s="27" t="s">
        <v>155</v>
      </c>
      <c r="N45" s="27"/>
      <c r="O45" s="1"/>
      <c r="P45" s="74">
        <f t="shared" si="2"/>
        <v>0</v>
      </c>
      <c r="Q45" s="627" t="s">
        <v>1213</v>
      </c>
      <c r="R45" s="1">
        <v>1</v>
      </c>
      <c r="S45" s="1" t="s">
        <v>118</v>
      </c>
      <c r="T45" s="27" t="s">
        <v>117</v>
      </c>
      <c r="U45" s="27" t="s">
        <v>119</v>
      </c>
      <c r="V45" s="28"/>
      <c r="W45" s="28"/>
      <c r="X45" s="28"/>
      <c r="Y45" s="28"/>
      <c r="Z45" s="1">
        <v>0</v>
      </c>
      <c r="AA45" s="1">
        <v>1</v>
      </c>
      <c r="AB45" s="1">
        <v>0</v>
      </c>
      <c r="AC45" s="1">
        <v>0</v>
      </c>
      <c r="AD45" s="582"/>
      <c r="AE45" s="582"/>
      <c r="AF45" s="582"/>
      <c r="AG45" s="582"/>
      <c r="AH45" s="582"/>
      <c r="AI45" s="582"/>
      <c r="AJ45" s="582"/>
      <c r="AK45" s="582"/>
      <c r="AL45" s="582"/>
      <c r="AM45" s="582"/>
      <c r="AN45" s="582"/>
      <c r="AO45" s="582"/>
      <c r="AP45" s="582"/>
      <c r="AQ45" s="620">
        <v>18543014.600000001</v>
      </c>
      <c r="AR45" s="582"/>
      <c r="AS45" s="582"/>
      <c r="AT45" s="593">
        <f t="shared" si="1"/>
        <v>18543014.600000001</v>
      </c>
      <c r="AU45" s="36"/>
      <c r="AV45" s="36"/>
      <c r="AW45" s="36"/>
      <c r="AX45" s="36"/>
      <c r="AY45" s="36"/>
      <c r="AZ45" s="36"/>
      <c r="BA45" s="36"/>
      <c r="BB45" s="36"/>
      <c r="BC45" s="36"/>
      <c r="BD45" s="36"/>
      <c r="BE45" s="36"/>
      <c r="BF45" s="36"/>
      <c r="BG45" s="36"/>
      <c r="BH45" s="36"/>
      <c r="BI45" s="36"/>
      <c r="BJ45" s="36"/>
      <c r="BK45" s="57"/>
      <c r="BL45" s="26" t="s">
        <v>85</v>
      </c>
      <c r="BM45" s="27"/>
      <c r="BO45" s="606"/>
    </row>
    <row r="46" spans="1:67" s="38" customFormat="1" ht="102">
      <c r="A46" s="28" t="s">
        <v>6</v>
      </c>
      <c r="B46" s="26" t="s">
        <v>22</v>
      </c>
      <c r="C46" s="28" t="s">
        <v>11</v>
      </c>
      <c r="D46" s="34">
        <v>19</v>
      </c>
      <c r="E46" s="35" t="s">
        <v>23</v>
      </c>
      <c r="F46" s="34">
        <v>1903</v>
      </c>
      <c r="G46" s="28" t="s">
        <v>29</v>
      </c>
      <c r="H46" s="27">
        <v>1903016</v>
      </c>
      <c r="I46" s="28" t="s">
        <v>30</v>
      </c>
      <c r="J46" s="27">
        <v>190301600</v>
      </c>
      <c r="K46" s="636"/>
      <c r="L46" s="636"/>
      <c r="M46" s="27" t="s">
        <v>156</v>
      </c>
      <c r="N46" s="27"/>
      <c r="O46" s="37"/>
      <c r="P46" s="74">
        <f t="shared" si="2"/>
        <v>0</v>
      </c>
      <c r="Q46" s="631" t="s">
        <v>147</v>
      </c>
      <c r="R46" s="1">
        <v>1</v>
      </c>
      <c r="S46" s="1" t="s">
        <v>118</v>
      </c>
      <c r="T46" s="27" t="s">
        <v>117</v>
      </c>
      <c r="U46" s="27" t="s">
        <v>119</v>
      </c>
      <c r="V46" s="28"/>
      <c r="W46" s="28"/>
      <c r="X46" s="28"/>
      <c r="Y46" s="28"/>
      <c r="Z46" s="1">
        <v>0</v>
      </c>
      <c r="AA46" s="1">
        <v>0</v>
      </c>
      <c r="AB46" s="1">
        <v>0</v>
      </c>
      <c r="AC46" s="1">
        <v>1</v>
      </c>
      <c r="AD46" s="582"/>
      <c r="AE46" s="582"/>
      <c r="AF46" s="582"/>
      <c r="AG46" s="582"/>
      <c r="AH46" s="582"/>
      <c r="AI46" s="582"/>
      <c r="AJ46" s="582"/>
      <c r="AK46" s="582"/>
      <c r="AL46" s="582"/>
      <c r="AM46" s="582"/>
      <c r="AN46" s="582"/>
      <c r="AO46" s="582"/>
      <c r="AP46" s="582"/>
      <c r="AQ46" s="620">
        <v>18543050.417399999</v>
      </c>
      <c r="AR46" s="582"/>
      <c r="AS46" s="582"/>
      <c r="AT46" s="593">
        <f t="shared" si="1"/>
        <v>18543050.417399999</v>
      </c>
      <c r="AU46" s="36"/>
      <c r="AV46" s="36"/>
      <c r="AW46" s="36"/>
      <c r="AX46" s="36"/>
      <c r="AY46" s="36"/>
      <c r="AZ46" s="36"/>
      <c r="BA46" s="36"/>
      <c r="BB46" s="36"/>
      <c r="BC46" s="36"/>
      <c r="BD46" s="36"/>
      <c r="BE46" s="36"/>
      <c r="BF46" s="36"/>
      <c r="BG46" s="36"/>
      <c r="BH46" s="36"/>
      <c r="BI46" s="36"/>
      <c r="BJ46" s="36"/>
      <c r="BK46" s="57"/>
      <c r="BL46" s="26" t="s">
        <v>85</v>
      </c>
      <c r="BM46" s="27"/>
      <c r="BO46" s="606"/>
    </row>
    <row r="47" spans="1:67" s="38" customFormat="1" ht="102">
      <c r="A47" s="28" t="s">
        <v>6</v>
      </c>
      <c r="B47" s="26" t="s">
        <v>22</v>
      </c>
      <c r="C47" s="28" t="s">
        <v>11</v>
      </c>
      <c r="D47" s="34">
        <v>19</v>
      </c>
      <c r="E47" s="35" t="s">
        <v>23</v>
      </c>
      <c r="F47" s="34">
        <v>1903</v>
      </c>
      <c r="G47" s="28" t="s">
        <v>29</v>
      </c>
      <c r="H47" s="27">
        <v>1903016</v>
      </c>
      <c r="I47" s="28" t="s">
        <v>30</v>
      </c>
      <c r="J47" s="27">
        <v>190301600</v>
      </c>
      <c r="K47" s="636"/>
      <c r="L47" s="636"/>
      <c r="M47" s="27" t="s">
        <v>155</v>
      </c>
      <c r="N47" s="27"/>
      <c r="O47" s="1"/>
      <c r="P47" s="74">
        <f t="shared" si="2"/>
        <v>0</v>
      </c>
      <c r="Q47" s="633" t="s">
        <v>1215</v>
      </c>
      <c r="R47" s="1">
        <v>1</v>
      </c>
      <c r="S47" s="1" t="s">
        <v>118</v>
      </c>
      <c r="T47" s="27" t="s">
        <v>117</v>
      </c>
      <c r="U47" s="27" t="s">
        <v>119</v>
      </c>
      <c r="V47" s="28"/>
      <c r="W47" s="28"/>
      <c r="X47" s="28"/>
      <c r="Y47" s="28"/>
      <c r="Z47" s="1">
        <v>0</v>
      </c>
      <c r="AA47" s="1">
        <v>0</v>
      </c>
      <c r="AB47" s="1">
        <v>0</v>
      </c>
      <c r="AC47" s="1">
        <v>1</v>
      </c>
      <c r="AD47" s="582"/>
      <c r="AE47" s="582"/>
      <c r="AF47" s="582"/>
      <c r="AG47" s="582"/>
      <c r="AH47" s="582"/>
      <c r="AI47" s="582"/>
      <c r="AJ47" s="582"/>
      <c r="AK47" s="582"/>
      <c r="AL47" s="582"/>
      <c r="AM47" s="582"/>
      <c r="AN47" s="582"/>
      <c r="AO47" s="582"/>
      <c r="AP47" s="582"/>
      <c r="AQ47" s="620">
        <v>32034008.037999999</v>
      </c>
      <c r="AR47" s="582"/>
      <c r="AS47" s="582"/>
      <c r="AT47" s="593">
        <f t="shared" si="1"/>
        <v>32034008.037999999</v>
      </c>
      <c r="AU47" s="36"/>
      <c r="AV47" s="36"/>
      <c r="AW47" s="36"/>
      <c r="AX47" s="36"/>
      <c r="AY47" s="36"/>
      <c r="AZ47" s="36"/>
      <c r="BA47" s="36"/>
      <c r="BB47" s="36"/>
      <c r="BC47" s="36"/>
      <c r="BD47" s="36"/>
      <c r="BE47" s="36"/>
      <c r="BF47" s="36"/>
      <c r="BG47" s="36"/>
      <c r="BH47" s="36"/>
      <c r="BI47" s="36"/>
      <c r="BJ47" s="36"/>
      <c r="BK47" s="57"/>
      <c r="BL47" s="26" t="s">
        <v>85</v>
      </c>
      <c r="BM47" s="27" t="s">
        <v>159</v>
      </c>
      <c r="BO47" s="606"/>
    </row>
    <row r="48" spans="1:67" s="38" customFormat="1" ht="204" customHeight="1">
      <c r="A48" s="28" t="s">
        <v>6</v>
      </c>
      <c r="B48" s="26" t="s">
        <v>22</v>
      </c>
      <c r="C48" s="28" t="s">
        <v>11</v>
      </c>
      <c r="D48" s="34">
        <v>19</v>
      </c>
      <c r="E48" s="35" t="s">
        <v>23</v>
      </c>
      <c r="F48" s="34">
        <v>1903</v>
      </c>
      <c r="G48" s="28" t="s">
        <v>29</v>
      </c>
      <c r="H48" s="27">
        <v>1903016</v>
      </c>
      <c r="I48" s="28" t="s">
        <v>30</v>
      </c>
      <c r="J48" s="27">
        <v>190301600</v>
      </c>
      <c r="K48" s="636"/>
      <c r="L48" s="636"/>
      <c r="M48" s="27" t="s">
        <v>160</v>
      </c>
      <c r="N48" s="27"/>
      <c r="O48" s="1"/>
      <c r="P48" s="74">
        <f t="shared" si="2"/>
        <v>0</v>
      </c>
      <c r="Q48" s="633" t="s">
        <v>1209</v>
      </c>
      <c r="R48" s="1">
        <v>12</v>
      </c>
      <c r="S48" s="1" t="s">
        <v>118</v>
      </c>
      <c r="T48" s="27" t="s">
        <v>161</v>
      </c>
      <c r="U48" s="27" t="s">
        <v>119</v>
      </c>
      <c r="V48" s="28"/>
      <c r="W48" s="28"/>
      <c r="X48" s="28"/>
      <c r="Y48" s="28"/>
      <c r="Z48" s="1">
        <v>3</v>
      </c>
      <c r="AA48" s="1">
        <v>3</v>
      </c>
      <c r="AB48" s="1">
        <v>3</v>
      </c>
      <c r="AC48" s="1">
        <v>3</v>
      </c>
      <c r="AD48" s="582"/>
      <c r="AE48" s="582"/>
      <c r="AF48" s="582"/>
      <c r="AG48" s="582"/>
      <c r="AH48" s="582"/>
      <c r="AI48" s="582"/>
      <c r="AJ48" s="582"/>
      <c r="AK48" s="582"/>
      <c r="AL48" s="582"/>
      <c r="AM48" s="582"/>
      <c r="AN48" s="582"/>
      <c r="AO48" s="582"/>
      <c r="AP48" s="582"/>
      <c r="AQ48" s="620">
        <v>7690572.3245999999</v>
      </c>
      <c r="AR48" s="582"/>
      <c r="AS48" s="582"/>
      <c r="AT48" s="593">
        <f t="shared" si="1"/>
        <v>7690572.3245999999</v>
      </c>
      <c r="AU48" s="36"/>
      <c r="AV48" s="36"/>
      <c r="AW48" s="36"/>
      <c r="AX48" s="36"/>
      <c r="AY48" s="36"/>
      <c r="AZ48" s="36"/>
      <c r="BA48" s="36"/>
      <c r="BB48" s="36"/>
      <c r="BC48" s="36"/>
      <c r="BD48" s="36"/>
      <c r="BE48" s="36"/>
      <c r="BF48" s="36"/>
      <c r="BG48" s="36"/>
      <c r="BH48" s="36"/>
      <c r="BI48" s="36"/>
      <c r="BJ48" s="36"/>
      <c r="BK48" s="57"/>
      <c r="BL48" s="26" t="s">
        <v>85</v>
      </c>
      <c r="BM48" s="27"/>
      <c r="BO48" s="606"/>
    </row>
    <row r="49" spans="1:67" s="38" customFormat="1" ht="102">
      <c r="A49" s="28" t="s">
        <v>6</v>
      </c>
      <c r="B49" s="26" t="s">
        <v>22</v>
      </c>
      <c r="C49" s="28" t="s">
        <v>11</v>
      </c>
      <c r="D49" s="34">
        <v>19</v>
      </c>
      <c r="E49" s="35" t="s">
        <v>23</v>
      </c>
      <c r="F49" s="34">
        <v>1903</v>
      </c>
      <c r="G49" s="28" t="s">
        <v>29</v>
      </c>
      <c r="H49" s="27">
        <v>1903016</v>
      </c>
      <c r="I49" s="28" t="s">
        <v>30</v>
      </c>
      <c r="J49" s="27">
        <v>190301600</v>
      </c>
      <c r="K49" s="637"/>
      <c r="L49" s="637"/>
      <c r="M49" s="27" t="s">
        <v>1211</v>
      </c>
      <c r="N49" s="27"/>
      <c r="O49" s="1"/>
      <c r="P49" s="74">
        <f t="shared" si="2"/>
        <v>0</v>
      </c>
      <c r="Q49" s="632" t="s">
        <v>1212</v>
      </c>
      <c r="R49" s="1">
        <v>1</v>
      </c>
      <c r="S49" s="1" t="s">
        <v>118</v>
      </c>
      <c r="T49" s="27" t="s">
        <v>117</v>
      </c>
      <c r="U49" s="27" t="s">
        <v>119</v>
      </c>
      <c r="V49" s="28"/>
      <c r="W49" s="28"/>
      <c r="X49" s="28"/>
      <c r="Y49" s="28"/>
      <c r="Z49" s="1">
        <v>0</v>
      </c>
      <c r="AA49" s="1">
        <v>0</v>
      </c>
      <c r="AB49" s="1">
        <v>1</v>
      </c>
      <c r="AC49" s="1">
        <v>0</v>
      </c>
      <c r="AD49" s="582"/>
      <c r="AE49" s="582"/>
      <c r="AF49" s="582"/>
      <c r="AG49" s="582"/>
      <c r="AH49" s="582"/>
      <c r="AI49" s="582"/>
      <c r="AJ49" s="582"/>
      <c r="AK49" s="582"/>
      <c r="AL49" s="582"/>
      <c r="AM49" s="582"/>
      <c r="AN49" s="582"/>
      <c r="AO49" s="582"/>
      <c r="AP49" s="582"/>
      <c r="AQ49" s="621">
        <v>16153011.93</v>
      </c>
      <c r="AR49" s="582"/>
      <c r="AS49" s="582"/>
      <c r="AT49" s="593">
        <f t="shared" si="1"/>
        <v>16153011.93</v>
      </c>
      <c r="AU49" s="36"/>
      <c r="AV49" s="36"/>
      <c r="AW49" s="36"/>
      <c r="AX49" s="36"/>
      <c r="AY49" s="36"/>
      <c r="AZ49" s="36"/>
      <c r="BA49" s="36"/>
      <c r="BB49" s="36"/>
      <c r="BC49" s="36"/>
      <c r="BD49" s="36"/>
      <c r="BE49" s="36"/>
      <c r="BF49" s="36"/>
      <c r="BG49" s="36"/>
      <c r="BH49" s="36"/>
      <c r="BI49" s="36"/>
      <c r="BJ49" s="36"/>
      <c r="BK49" s="57"/>
      <c r="BL49" s="26" t="s">
        <v>85</v>
      </c>
      <c r="BM49" s="27"/>
      <c r="BO49" s="606"/>
    </row>
    <row r="50" spans="1:67" s="38" customFormat="1" ht="102">
      <c r="A50" s="28" t="s">
        <v>6</v>
      </c>
      <c r="B50" s="26" t="s">
        <v>22</v>
      </c>
      <c r="C50" s="28" t="s">
        <v>11</v>
      </c>
      <c r="D50" s="34">
        <v>19</v>
      </c>
      <c r="E50" s="35" t="s">
        <v>23</v>
      </c>
      <c r="F50" s="34">
        <v>1903</v>
      </c>
      <c r="G50" s="28" t="s">
        <v>29</v>
      </c>
      <c r="H50" s="27">
        <v>1903016</v>
      </c>
      <c r="I50" s="28" t="s">
        <v>30</v>
      </c>
      <c r="J50" s="27">
        <v>190301600</v>
      </c>
      <c r="K50" s="41">
        <v>1</v>
      </c>
      <c r="L50" s="56">
        <v>1</v>
      </c>
      <c r="M50" s="27" t="s">
        <v>157</v>
      </c>
      <c r="N50" s="27"/>
      <c r="O50" s="1"/>
      <c r="P50" s="74">
        <f t="shared" si="2"/>
        <v>0</v>
      </c>
      <c r="Q50" s="631" t="s">
        <v>1210</v>
      </c>
      <c r="R50" s="1">
        <v>1</v>
      </c>
      <c r="S50" s="1" t="s">
        <v>118</v>
      </c>
      <c r="T50" s="27" t="s">
        <v>117</v>
      </c>
      <c r="U50" s="27" t="s">
        <v>119</v>
      </c>
      <c r="V50" s="28"/>
      <c r="W50" s="28"/>
      <c r="X50" s="28"/>
      <c r="Y50" s="28"/>
      <c r="Z50" s="1">
        <v>0</v>
      </c>
      <c r="AA50" s="1">
        <v>0</v>
      </c>
      <c r="AB50" s="1">
        <v>1</v>
      </c>
      <c r="AC50" s="1">
        <v>0</v>
      </c>
      <c r="AD50" s="582"/>
      <c r="AE50" s="582"/>
      <c r="AF50" s="582"/>
      <c r="AG50" s="582"/>
      <c r="AH50" s="582"/>
      <c r="AI50" s="582"/>
      <c r="AJ50" s="582"/>
      <c r="AK50" s="582"/>
      <c r="AL50" s="582"/>
      <c r="AM50" s="582"/>
      <c r="AN50" s="582"/>
      <c r="AO50" s="582"/>
      <c r="AP50" s="582"/>
      <c r="AQ50" s="622"/>
      <c r="AR50" s="582"/>
      <c r="AS50" s="582">
        <v>30000000</v>
      </c>
      <c r="AT50" s="593">
        <f t="shared" si="1"/>
        <v>30000000</v>
      </c>
      <c r="AU50" s="36"/>
      <c r="AV50" s="36"/>
      <c r="AW50" s="36"/>
      <c r="AX50" s="36"/>
      <c r="AY50" s="36"/>
      <c r="AZ50" s="36"/>
      <c r="BA50" s="36"/>
      <c r="BB50" s="36"/>
      <c r="BC50" s="36"/>
      <c r="BD50" s="36"/>
      <c r="BE50" s="36"/>
      <c r="BF50" s="36"/>
      <c r="BG50" s="36"/>
      <c r="BH50" s="36"/>
      <c r="BI50" s="36"/>
      <c r="BJ50" s="36"/>
      <c r="BK50" s="57"/>
      <c r="BL50" s="26" t="s">
        <v>85</v>
      </c>
      <c r="BM50" s="27"/>
      <c r="BO50" s="606"/>
    </row>
    <row r="51" spans="1:67" s="38" customFormat="1" ht="89.25" customHeight="1">
      <c r="A51" s="28" t="s">
        <v>6</v>
      </c>
      <c r="B51" s="26" t="s">
        <v>22</v>
      </c>
      <c r="C51" s="28" t="s">
        <v>11</v>
      </c>
      <c r="D51" s="34">
        <v>19</v>
      </c>
      <c r="E51" s="35" t="s">
        <v>23</v>
      </c>
      <c r="F51" s="34">
        <v>1903</v>
      </c>
      <c r="G51" s="28" t="s">
        <v>8</v>
      </c>
      <c r="H51" s="27">
        <v>1903034</v>
      </c>
      <c r="I51" s="28" t="s">
        <v>31</v>
      </c>
      <c r="J51" s="27">
        <v>190303400</v>
      </c>
      <c r="K51" s="1">
        <v>1</v>
      </c>
      <c r="L51" s="56">
        <v>1</v>
      </c>
      <c r="M51" s="27" t="s">
        <v>163</v>
      </c>
      <c r="N51" s="27"/>
      <c r="O51" s="1"/>
      <c r="P51" s="74">
        <f>BK51</f>
        <v>0</v>
      </c>
      <c r="Q51" s="66" t="s">
        <v>162</v>
      </c>
      <c r="R51" s="1">
        <v>100</v>
      </c>
      <c r="S51" s="1" t="s">
        <v>118</v>
      </c>
      <c r="T51" s="27" t="s">
        <v>117</v>
      </c>
      <c r="U51" s="27" t="s">
        <v>119</v>
      </c>
      <c r="V51" s="28"/>
      <c r="W51" s="28"/>
      <c r="X51" s="28"/>
      <c r="Y51" s="28"/>
      <c r="Z51" s="1">
        <v>25</v>
      </c>
      <c r="AA51" s="1">
        <v>25</v>
      </c>
      <c r="AB51" s="1">
        <v>25</v>
      </c>
      <c r="AC51" s="1">
        <v>25</v>
      </c>
      <c r="AD51" s="582"/>
      <c r="AE51" s="582"/>
      <c r="AF51" s="582"/>
      <c r="AG51" s="582"/>
      <c r="AH51" s="582"/>
      <c r="AI51" s="582"/>
      <c r="AJ51" s="582"/>
      <c r="AK51" s="582"/>
      <c r="AL51" s="582"/>
      <c r="AM51" s="582"/>
      <c r="AN51" s="582"/>
      <c r="AO51" s="582"/>
      <c r="AP51" s="582"/>
      <c r="AQ51" s="583">
        <v>61421500</v>
      </c>
      <c r="AR51" s="582"/>
      <c r="AS51" s="582"/>
      <c r="AT51" s="593">
        <f t="shared" si="1"/>
        <v>61421500</v>
      </c>
      <c r="AU51" s="36"/>
      <c r="AV51" s="36"/>
      <c r="AW51" s="36"/>
      <c r="AX51" s="36"/>
      <c r="AY51" s="36"/>
      <c r="AZ51" s="36"/>
      <c r="BA51" s="36"/>
      <c r="BB51" s="36"/>
      <c r="BC51" s="36"/>
      <c r="BD51" s="36"/>
      <c r="BE51" s="36"/>
      <c r="BF51" s="36"/>
      <c r="BG51" s="36"/>
      <c r="BH51" s="36"/>
      <c r="BI51" s="36"/>
      <c r="BJ51" s="36"/>
      <c r="BK51" s="57"/>
      <c r="BL51" s="26" t="s">
        <v>85</v>
      </c>
      <c r="BM51" s="27"/>
      <c r="BO51" s="606"/>
    </row>
    <row r="52" spans="1:67" s="38" customFormat="1" ht="127.5">
      <c r="A52" s="28" t="s">
        <v>6</v>
      </c>
      <c r="B52" s="26" t="s">
        <v>10</v>
      </c>
      <c r="C52" s="28" t="s">
        <v>11</v>
      </c>
      <c r="D52" s="34">
        <v>19</v>
      </c>
      <c r="E52" s="35" t="s">
        <v>23</v>
      </c>
      <c r="F52" s="34">
        <v>1903</v>
      </c>
      <c r="G52" s="28" t="s">
        <v>87</v>
      </c>
      <c r="H52" s="27">
        <v>1903045</v>
      </c>
      <c r="I52" s="28" t="s">
        <v>88</v>
      </c>
      <c r="J52" s="27">
        <v>190304500</v>
      </c>
      <c r="K52" s="1">
        <v>139026</v>
      </c>
      <c r="L52" s="56">
        <v>139026</v>
      </c>
      <c r="M52" s="27" t="s">
        <v>165</v>
      </c>
      <c r="N52" s="27"/>
      <c r="O52" s="37"/>
      <c r="P52" s="74">
        <f>AT52</f>
        <v>116630000</v>
      </c>
      <c r="Q52" s="30" t="s">
        <v>164</v>
      </c>
      <c r="R52" s="1">
        <v>100</v>
      </c>
      <c r="S52" s="1" t="s">
        <v>118</v>
      </c>
      <c r="T52" s="27" t="s">
        <v>117</v>
      </c>
      <c r="U52" s="27" t="s">
        <v>119</v>
      </c>
      <c r="V52" s="28"/>
      <c r="W52" s="28"/>
      <c r="X52" s="28"/>
      <c r="Y52" s="28"/>
      <c r="Z52" s="1">
        <v>25</v>
      </c>
      <c r="AA52" s="1">
        <v>25</v>
      </c>
      <c r="AB52" s="1">
        <v>25</v>
      </c>
      <c r="AC52" s="1">
        <v>25</v>
      </c>
      <c r="AD52" s="582"/>
      <c r="AE52" s="582"/>
      <c r="AF52" s="582"/>
      <c r="AG52" s="582"/>
      <c r="AH52" s="582"/>
      <c r="AI52" s="582"/>
      <c r="AJ52" s="582"/>
      <c r="AK52" s="582"/>
      <c r="AL52" s="582"/>
      <c r="AM52" s="582"/>
      <c r="AN52" s="582"/>
      <c r="AO52" s="582"/>
      <c r="AP52" s="582"/>
      <c r="AQ52" s="588">
        <v>116630000</v>
      </c>
      <c r="AR52" s="582"/>
      <c r="AS52" s="595"/>
      <c r="AT52" s="593">
        <f t="shared" si="1"/>
        <v>116630000</v>
      </c>
      <c r="AU52" s="36"/>
      <c r="AV52" s="36"/>
      <c r="AW52" s="36"/>
      <c r="AX52" s="36"/>
      <c r="AY52" s="36"/>
      <c r="AZ52" s="36"/>
      <c r="BA52" s="36"/>
      <c r="BB52" s="36"/>
      <c r="BC52" s="36"/>
      <c r="BD52" s="36"/>
      <c r="BE52" s="36"/>
      <c r="BF52" s="36"/>
      <c r="BG52" s="36"/>
      <c r="BH52" s="36"/>
      <c r="BI52" s="36"/>
      <c r="BJ52" s="36"/>
      <c r="BK52" s="57"/>
      <c r="BL52" s="26" t="s">
        <v>85</v>
      </c>
      <c r="BM52" s="27"/>
      <c r="BO52" s="606"/>
    </row>
    <row r="53" spans="1:67" s="38" customFormat="1" ht="153" customHeight="1">
      <c r="A53" s="28" t="s">
        <v>6</v>
      </c>
      <c r="B53" s="26" t="s">
        <v>32</v>
      </c>
      <c r="C53" s="28" t="s">
        <v>11</v>
      </c>
      <c r="D53" s="34">
        <v>19</v>
      </c>
      <c r="E53" s="35" t="s">
        <v>19</v>
      </c>
      <c r="F53" s="34">
        <v>1905</v>
      </c>
      <c r="G53" s="28" t="s">
        <v>33</v>
      </c>
      <c r="H53" s="27">
        <v>1905031</v>
      </c>
      <c r="I53" s="28" t="s">
        <v>34</v>
      </c>
      <c r="J53" s="27">
        <v>190503100</v>
      </c>
      <c r="K53" s="635">
        <v>2</v>
      </c>
      <c r="L53" s="636">
        <v>2</v>
      </c>
      <c r="M53" s="27" t="s">
        <v>172</v>
      </c>
      <c r="N53" s="27"/>
      <c r="O53" s="37"/>
      <c r="P53" s="74">
        <f>AT53</f>
        <v>34814512.799999997</v>
      </c>
      <c r="Q53" s="51" t="s">
        <v>1219</v>
      </c>
      <c r="R53" s="1">
        <v>15</v>
      </c>
      <c r="S53" s="1" t="s">
        <v>118</v>
      </c>
      <c r="T53" s="27" t="s">
        <v>117</v>
      </c>
      <c r="U53" s="27" t="s">
        <v>119</v>
      </c>
      <c r="V53" s="28"/>
      <c r="W53" s="28"/>
      <c r="X53" s="28"/>
      <c r="Y53" s="28"/>
      <c r="Z53" s="1">
        <v>0</v>
      </c>
      <c r="AA53" s="1">
        <v>5</v>
      </c>
      <c r="AB53" s="1">
        <v>5</v>
      </c>
      <c r="AC53" s="1">
        <v>5</v>
      </c>
      <c r="AD53" s="582"/>
      <c r="AE53" s="582"/>
      <c r="AF53" s="585">
        <v>34814512.799999997</v>
      </c>
      <c r="AG53" s="582"/>
      <c r="AH53" s="582"/>
      <c r="AI53" s="582"/>
      <c r="AJ53" s="582"/>
      <c r="AK53" s="582"/>
      <c r="AL53" s="582"/>
      <c r="AM53" s="582"/>
      <c r="AN53" s="582"/>
      <c r="AO53" s="582"/>
      <c r="AP53" s="582"/>
      <c r="AQ53" s="582"/>
      <c r="AR53" s="582"/>
      <c r="AS53" s="582"/>
      <c r="AT53" s="593">
        <f t="shared" si="1"/>
        <v>34814512.799999997</v>
      </c>
      <c r="AU53" s="36"/>
      <c r="AV53" s="36"/>
      <c r="AW53" s="36"/>
      <c r="AX53" s="36"/>
      <c r="AY53" s="36"/>
      <c r="AZ53" s="36"/>
      <c r="BA53" s="36"/>
      <c r="BB53" s="36"/>
      <c r="BC53" s="36"/>
      <c r="BD53" s="36"/>
      <c r="BE53" s="36"/>
      <c r="BF53" s="36"/>
      <c r="BG53" s="36"/>
      <c r="BH53" s="36"/>
      <c r="BI53" s="36"/>
      <c r="BJ53" s="36"/>
      <c r="BK53" s="57"/>
      <c r="BL53" s="26" t="s">
        <v>85</v>
      </c>
      <c r="BM53" s="42"/>
      <c r="BO53" s="606"/>
    </row>
    <row r="54" spans="1:67" s="38" customFormat="1" ht="89.25">
      <c r="A54" s="28" t="s">
        <v>6</v>
      </c>
      <c r="B54" s="26" t="s">
        <v>32</v>
      </c>
      <c r="C54" s="28" t="s">
        <v>11</v>
      </c>
      <c r="D54" s="34">
        <v>19</v>
      </c>
      <c r="E54" s="35" t="s">
        <v>19</v>
      </c>
      <c r="F54" s="34">
        <v>1905</v>
      </c>
      <c r="G54" s="28" t="s">
        <v>33</v>
      </c>
      <c r="H54" s="27">
        <v>1905031</v>
      </c>
      <c r="I54" s="28" t="s">
        <v>34</v>
      </c>
      <c r="J54" s="27">
        <v>190503100</v>
      </c>
      <c r="K54" s="636"/>
      <c r="L54" s="636"/>
      <c r="M54" s="27" t="s">
        <v>172</v>
      </c>
      <c r="N54" s="27"/>
      <c r="O54" s="37"/>
      <c r="P54" s="74">
        <f t="shared" ref="P54:P108" si="6">AT54</f>
        <v>23974550</v>
      </c>
      <c r="Q54" s="58" t="s">
        <v>1216</v>
      </c>
      <c r="R54" s="1">
        <v>3</v>
      </c>
      <c r="S54" s="1" t="s">
        <v>118</v>
      </c>
      <c r="T54" s="27" t="s">
        <v>117</v>
      </c>
      <c r="U54" s="27" t="s">
        <v>119</v>
      </c>
      <c r="V54" s="28"/>
      <c r="W54" s="28"/>
      <c r="X54" s="28"/>
      <c r="Y54" s="28"/>
      <c r="Z54" s="1">
        <v>0</v>
      </c>
      <c r="AA54" s="1">
        <v>1</v>
      </c>
      <c r="AB54" s="1">
        <v>1</v>
      </c>
      <c r="AC54" s="1">
        <v>1</v>
      </c>
      <c r="AD54" s="582"/>
      <c r="AE54" s="582"/>
      <c r="AF54" s="585">
        <v>23974550</v>
      </c>
      <c r="AG54" s="582"/>
      <c r="AH54" s="582"/>
      <c r="AI54" s="582"/>
      <c r="AJ54" s="582"/>
      <c r="AK54" s="582"/>
      <c r="AL54" s="582"/>
      <c r="AM54" s="582"/>
      <c r="AN54" s="582"/>
      <c r="AO54" s="582"/>
      <c r="AP54" s="582"/>
      <c r="AQ54" s="582"/>
      <c r="AR54" s="582"/>
      <c r="AS54" s="582"/>
      <c r="AT54" s="593">
        <f t="shared" si="1"/>
        <v>23974550</v>
      </c>
      <c r="AU54" s="36"/>
      <c r="AV54" s="36"/>
      <c r="AW54" s="36"/>
      <c r="AX54" s="36"/>
      <c r="AY54" s="36"/>
      <c r="AZ54" s="36"/>
      <c r="BA54" s="36"/>
      <c r="BB54" s="36"/>
      <c r="BC54" s="36"/>
      <c r="BD54" s="36"/>
      <c r="BE54" s="36"/>
      <c r="BF54" s="36"/>
      <c r="BG54" s="36"/>
      <c r="BH54" s="36"/>
      <c r="BI54" s="36"/>
      <c r="BJ54" s="36"/>
      <c r="BK54" s="57"/>
      <c r="BL54" s="26" t="s">
        <v>85</v>
      </c>
      <c r="BM54" s="42"/>
      <c r="BO54" s="606"/>
    </row>
    <row r="55" spans="1:67" s="38" customFormat="1" ht="114.75" customHeight="1">
      <c r="A55" s="28" t="s">
        <v>6</v>
      </c>
      <c r="B55" s="26" t="s">
        <v>32</v>
      </c>
      <c r="C55" s="28" t="s">
        <v>11</v>
      </c>
      <c r="D55" s="34">
        <v>19</v>
      </c>
      <c r="E55" s="35" t="s">
        <v>19</v>
      </c>
      <c r="F55" s="34">
        <v>1905</v>
      </c>
      <c r="G55" s="28" t="s">
        <v>33</v>
      </c>
      <c r="H55" s="27">
        <v>1905031</v>
      </c>
      <c r="I55" s="28" t="s">
        <v>34</v>
      </c>
      <c r="J55" s="27">
        <v>190503100</v>
      </c>
      <c r="K55" s="636"/>
      <c r="L55" s="636"/>
      <c r="M55" s="27" t="s">
        <v>172</v>
      </c>
      <c r="N55" s="27"/>
      <c r="O55" s="37"/>
      <c r="P55" s="74">
        <f t="shared" si="6"/>
        <v>7690342.4000000004</v>
      </c>
      <c r="Q55" s="51" t="s">
        <v>168</v>
      </c>
      <c r="R55" s="1">
        <v>15</v>
      </c>
      <c r="S55" s="1" t="s">
        <v>118</v>
      </c>
      <c r="T55" s="27" t="s">
        <v>117</v>
      </c>
      <c r="U55" s="27" t="s">
        <v>119</v>
      </c>
      <c r="V55" s="28"/>
      <c r="W55" s="28"/>
      <c r="X55" s="28"/>
      <c r="Y55" s="28"/>
      <c r="Z55" s="1">
        <v>0</v>
      </c>
      <c r="AA55" s="1">
        <v>5</v>
      </c>
      <c r="AB55" s="1">
        <v>5</v>
      </c>
      <c r="AC55" s="1">
        <v>5</v>
      </c>
      <c r="AD55" s="582"/>
      <c r="AE55" s="582"/>
      <c r="AF55" s="585">
        <v>7690342.4000000004</v>
      </c>
      <c r="AG55" s="582"/>
      <c r="AH55" s="582"/>
      <c r="AI55" s="582"/>
      <c r="AJ55" s="582"/>
      <c r="AK55" s="582"/>
      <c r="AL55" s="582"/>
      <c r="AM55" s="582"/>
      <c r="AN55" s="582"/>
      <c r="AO55" s="582"/>
      <c r="AP55" s="582"/>
      <c r="AQ55" s="582"/>
      <c r="AR55" s="582"/>
      <c r="AS55" s="582"/>
      <c r="AT55" s="593">
        <f t="shared" si="1"/>
        <v>7690342.4000000004</v>
      </c>
      <c r="AU55" s="36"/>
      <c r="AV55" s="36"/>
      <c r="AW55" s="36"/>
      <c r="AX55" s="36"/>
      <c r="AY55" s="36"/>
      <c r="AZ55" s="36"/>
      <c r="BA55" s="36"/>
      <c r="BB55" s="36"/>
      <c r="BC55" s="36"/>
      <c r="BD55" s="36"/>
      <c r="BE55" s="36"/>
      <c r="BF55" s="36"/>
      <c r="BG55" s="36"/>
      <c r="BH55" s="36"/>
      <c r="BI55" s="36"/>
      <c r="BJ55" s="36"/>
      <c r="BK55" s="57"/>
      <c r="BL55" s="26" t="s">
        <v>85</v>
      </c>
      <c r="BM55" s="42"/>
      <c r="BO55" s="606"/>
    </row>
    <row r="56" spans="1:67" s="38" customFormat="1" ht="76.5" customHeight="1">
      <c r="A56" s="28" t="s">
        <v>6</v>
      </c>
      <c r="B56" s="26" t="s">
        <v>32</v>
      </c>
      <c r="C56" s="28" t="s">
        <v>11</v>
      </c>
      <c r="D56" s="34">
        <v>19</v>
      </c>
      <c r="E56" s="35" t="s">
        <v>19</v>
      </c>
      <c r="F56" s="34">
        <v>1905</v>
      </c>
      <c r="G56" s="28" t="s">
        <v>33</v>
      </c>
      <c r="H56" s="27">
        <v>1905031</v>
      </c>
      <c r="I56" s="28" t="s">
        <v>34</v>
      </c>
      <c r="J56" s="27">
        <v>190503100</v>
      </c>
      <c r="K56" s="636"/>
      <c r="L56" s="636"/>
      <c r="M56" s="27" t="s">
        <v>172</v>
      </c>
      <c r="N56" s="27"/>
      <c r="O56" s="37"/>
      <c r="P56" s="74">
        <f t="shared" si="6"/>
        <v>18024240</v>
      </c>
      <c r="Q56" s="51" t="s">
        <v>1217</v>
      </c>
      <c r="R56" s="1">
        <v>2</v>
      </c>
      <c r="S56" s="1" t="s">
        <v>118</v>
      </c>
      <c r="T56" s="27" t="s">
        <v>117</v>
      </c>
      <c r="U56" s="27" t="s">
        <v>119</v>
      </c>
      <c r="V56" s="28"/>
      <c r="W56" s="28"/>
      <c r="X56" s="28"/>
      <c r="Y56" s="28"/>
      <c r="Z56" s="1">
        <v>0</v>
      </c>
      <c r="AA56" s="1">
        <v>1</v>
      </c>
      <c r="AB56" s="1">
        <v>1</v>
      </c>
      <c r="AC56" s="1">
        <f>R56-AA56-AA56</f>
        <v>0</v>
      </c>
      <c r="AD56" s="582"/>
      <c r="AE56" s="582"/>
      <c r="AF56" s="585">
        <v>18024240</v>
      </c>
      <c r="AG56" s="582"/>
      <c r="AH56" s="582"/>
      <c r="AI56" s="582"/>
      <c r="AJ56" s="582"/>
      <c r="AK56" s="582"/>
      <c r="AL56" s="582"/>
      <c r="AM56" s="582"/>
      <c r="AN56" s="582"/>
      <c r="AO56" s="582"/>
      <c r="AP56" s="582"/>
      <c r="AQ56" s="582"/>
      <c r="AR56" s="582"/>
      <c r="AS56" s="582"/>
      <c r="AT56" s="593">
        <f t="shared" si="1"/>
        <v>18024240</v>
      </c>
      <c r="AU56" s="36"/>
      <c r="AV56" s="36"/>
      <c r="AW56" s="36"/>
      <c r="AX56" s="36"/>
      <c r="AY56" s="36"/>
      <c r="AZ56" s="36"/>
      <c r="BA56" s="36"/>
      <c r="BB56" s="36"/>
      <c r="BC56" s="36"/>
      <c r="BD56" s="36"/>
      <c r="BE56" s="36"/>
      <c r="BF56" s="36"/>
      <c r="BG56" s="36"/>
      <c r="BH56" s="36"/>
      <c r="BI56" s="36"/>
      <c r="BJ56" s="36"/>
      <c r="BK56" s="57"/>
      <c r="BL56" s="26" t="s">
        <v>85</v>
      </c>
      <c r="BM56" s="42"/>
      <c r="BO56" s="606"/>
    </row>
    <row r="57" spans="1:67" s="38" customFormat="1" ht="89.25">
      <c r="A57" s="28" t="s">
        <v>6</v>
      </c>
      <c r="B57" s="26" t="s">
        <v>32</v>
      </c>
      <c r="C57" s="28" t="s">
        <v>11</v>
      </c>
      <c r="D57" s="34">
        <v>19</v>
      </c>
      <c r="E57" s="35" t="s">
        <v>19</v>
      </c>
      <c r="F57" s="34">
        <v>1905</v>
      </c>
      <c r="G57" s="28" t="s">
        <v>33</v>
      </c>
      <c r="H57" s="27">
        <v>1905031</v>
      </c>
      <c r="I57" s="28" t="s">
        <v>34</v>
      </c>
      <c r="J57" s="27">
        <v>190503100</v>
      </c>
      <c r="K57" s="636"/>
      <c r="L57" s="636"/>
      <c r="M57" s="27" t="s">
        <v>172</v>
      </c>
      <c r="N57" s="27"/>
      <c r="O57" s="37"/>
      <c r="P57" s="74">
        <f t="shared" si="6"/>
        <v>27577087.199999999</v>
      </c>
      <c r="Q57" s="51" t="s">
        <v>170</v>
      </c>
      <c r="R57" s="1">
        <v>12</v>
      </c>
      <c r="S57" s="1" t="s">
        <v>118</v>
      </c>
      <c r="T57" s="27" t="s">
        <v>117</v>
      </c>
      <c r="U57" s="27" t="s">
        <v>119</v>
      </c>
      <c r="V57" s="28"/>
      <c r="W57" s="28"/>
      <c r="X57" s="28"/>
      <c r="Y57" s="28"/>
      <c r="Z57" s="1">
        <v>0</v>
      </c>
      <c r="AA57" s="1">
        <v>4</v>
      </c>
      <c r="AB57" s="1">
        <v>4</v>
      </c>
      <c r="AC57" s="1">
        <v>4</v>
      </c>
      <c r="AD57" s="582"/>
      <c r="AE57" s="582"/>
      <c r="AF57" s="586">
        <v>27577087.199999999</v>
      </c>
      <c r="AG57" s="582"/>
      <c r="AH57" s="582"/>
      <c r="AI57" s="582"/>
      <c r="AJ57" s="582"/>
      <c r="AK57" s="582"/>
      <c r="AL57" s="582"/>
      <c r="AM57" s="582"/>
      <c r="AN57" s="582"/>
      <c r="AO57" s="582"/>
      <c r="AP57" s="582"/>
      <c r="AQ57" s="582"/>
      <c r="AR57" s="582"/>
      <c r="AS57" s="582"/>
      <c r="AT57" s="593">
        <f t="shared" si="1"/>
        <v>27577087.199999999</v>
      </c>
      <c r="AU57" s="36"/>
      <c r="AV57" s="36"/>
      <c r="AW57" s="36"/>
      <c r="AX57" s="36"/>
      <c r="AY57" s="36"/>
      <c r="AZ57" s="36"/>
      <c r="BA57" s="36"/>
      <c r="BB57" s="36"/>
      <c r="BC57" s="36"/>
      <c r="BD57" s="36"/>
      <c r="BE57" s="36"/>
      <c r="BF57" s="36"/>
      <c r="BG57" s="36"/>
      <c r="BH57" s="36"/>
      <c r="BI57" s="36"/>
      <c r="BJ57" s="36"/>
      <c r="BK57" s="57"/>
      <c r="BL57" s="26" t="s">
        <v>85</v>
      </c>
      <c r="BM57" s="42"/>
      <c r="BO57" s="606"/>
    </row>
    <row r="58" spans="1:67" s="38" customFormat="1" ht="89.25">
      <c r="A58" s="28" t="s">
        <v>6</v>
      </c>
      <c r="B58" s="26" t="s">
        <v>32</v>
      </c>
      <c r="C58" s="28" t="s">
        <v>11</v>
      </c>
      <c r="D58" s="34">
        <v>19</v>
      </c>
      <c r="E58" s="35" t="s">
        <v>19</v>
      </c>
      <c r="F58" s="34">
        <v>1905</v>
      </c>
      <c r="G58" s="28" t="s">
        <v>33</v>
      </c>
      <c r="H58" s="27">
        <v>1905031</v>
      </c>
      <c r="I58" s="28" t="s">
        <v>34</v>
      </c>
      <c r="J58" s="27">
        <v>190503100</v>
      </c>
      <c r="K58" s="637"/>
      <c r="L58" s="636"/>
      <c r="M58" s="27" t="s">
        <v>172</v>
      </c>
      <c r="N58" s="27"/>
      <c r="O58" s="37"/>
      <c r="P58" s="74">
        <f t="shared" si="6"/>
        <v>7577390.5</v>
      </c>
      <c r="Q58" s="51" t="s">
        <v>171</v>
      </c>
      <c r="R58" s="1">
        <v>20</v>
      </c>
      <c r="S58" s="1" t="s">
        <v>118</v>
      </c>
      <c r="T58" s="27" t="s">
        <v>117</v>
      </c>
      <c r="U58" s="27" t="s">
        <v>119</v>
      </c>
      <c r="V58" s="28"/>
      <c r="W58" s="28"/>
      <c r="X58" s="28"/>
      <c r="Y58" s="28"/>
      <c r="Z58" s="1">
        <v>0</v>
      </c>
      <c r="AA58" s="1">
        <v>6</v>
      </c>
      <c r="AB58" s="1">
        <v>7</v>
      </c>
      <c r="AC58" s="1">
        <v>7</v>
      </c>
      <c r="AD58" s="582"/>
      <c r="AE58" s="582"/>
      <c r="AF58" s="586">
        <v>7577390.5</v>
      </c>
      <c r="AG58" s="582"/>
      <c r="AH58" s="582"/>
      <c r="AI58" s="582"/>
      <c r="AJ58" s="582"/>
      <c r="AK58" s="582"/>
      <c r="AL58" s="582"/>
      <c r="AM58" s="582"/>
      <c r="AN58" s="582"/>
      <c r="AO58" s="582"/>
      <c r="AP58" s="582"/>
      <c r="AQ58" s="582"/>
      <c r="AR58" s="582"/>
      <c r="AS58" s="582"/>
      <c r="AT58" s="593">
        <f t="shared" si="1"/>
        <v>7577390.5</v>
      </c>
      <c r="AU58" s="36"/>
      <c r="AV58" s="36"/>
      <c r="AW58" s="36"/>
      <c r="AX58" s="36"/>
      <c r="AY58" s="36"/>
      <c r="AZ58" s="36"/>
      <c r="BA58" s="36"/>
      <c r="BB58" s="36"/>
      <c r="BC58" s="36"/>
      <c r="BD58" s="36"/>
      <c r="BE58" s="36"/>
      <c r="BF58" s="36"/>
      <c r="BG58" s="36"/>
      <c r="BH58" s="36"/>
      <c r="BI58" s="36"/>
      <c r="BJ58" s="36"/>
      <c r="BK58" s="57"/>
      <c r="BL58" s="26" t="s">
        <v>85</v>
      </c>
      <c r="BM58" s="42"/>
      <c r="BO58" s="606"/>
    </row>
    <row r="59" spans="1:67" s="38" customFormat="1" ht="191.25" customHeight="1">
      <c r="A59" s="28" t="s">
        <v>6</v>
      </c>
      <c r="B59" s="26" t="s">
        <v>35</v>
      </c>
      <c r="C59" s="28" t="s">
        <v>11</v>
      </c>
      <c r="D59" s="34">
        <v>19</v>
      </c>
      <c r="E59" s="35" t="s">
        <v>19</v>
      </c>
      <c r="F59" s="34">
        <v>1905</v>
      </c>
      <c r="G59" s="28" t="s">
        <v>36</v>
      </c>
      <c r="H59" s="27">
        <v>1905022</v>
      </c>
      <c r="I59" s="28" t="s">
        <v>37</v>
      </c>
      <c r="J59" s="27">
        <v>190502200</v>
      </c>
      <c r="K59" s="635">
        <v>2</v>
      </c>
      <c r="L59" s="636">
        <v>2</v>
      </c>
      <c r="M59" s="27" t="s">
        <v>184</v>
      </c>
      <c r="N59" s="27"/>
      <c r="O59" s="37"/>
      <c r="P59" s="74">
        <f t="shared" si="6"/>
        <v>6158282</v>
      </c>
      <c r="Q59" s="51" t="s">
        <v>183</v>
      </c>
      <c r="R59" s="1">
        <v>12</v>
      </c>
      <c r="S59" s="1" t="s">
        <v>118</v>
      </c>
      <c r="T59" s="27" t="s">
        <v>117</v>
      </c>
      <c r="U59" s="27" t="s">
        <v>119</v>
      </c>
      <c r="V59" s="28"/>
      <c r="W59" s="28"/>
      <c r="X59" s="28"/>
      <c r="Y59" s="28"/>
      <c r="Z59" s="1">
        <v>0</v>
      </c>
      <c r="AA59" s="1">
        <v>4</v>
      </c>
      <c r="AB59" s="1">
        <v>4</v>
      </c>
      <c r="AC59" s="1">
        <v>4</v>
      </c>
      <c r="AD59" s="582"/>
      <c r="AE59" s="582"/>
      <c r="AF59" s="582">
        <v>6158282</v>
      </c>
      <c r="AG59" s="582"/>
      <c r="AH59" s="582"/>
      <c r="AI59" s="582"/>
      <c r="AJ59" s="582"/>
      <c r="AK59" s="582"/>
      <c r="AL59" s="582"/>
      <c r="AM59" s="582"/>
      <c r="AN59" s="582"/>
      <c r="AO59" s="582"/>
      <c r="AP59" s="582"/>
      <c r="AQ59" s="582"/>
      <c r="AR59" s="582"/>
      <c r="AS59" s="582"/>
      <c r="AT59" s="593">
        <f t="shared" si="1"/>
        <v>6158282</v>
      </c>
      <c r="AU59" s="36"/>
      <c r="AV59" s="36"/>
      <c r="AW59" s="36"/>
      <c r="AX59" s="36"/>
      <c r="AY59" s="36"/>
      <c r="AZ59" s="36"/>
      <c r="BA59" s="36"/>
      <c r="BB59" s="36"/>
      <c r="BC59" s="36"/>
      <c r="BD59" s="36"/>
      <c r="BE59" s="36"/>
      <c r="BF59" s="36"/>
      <c r="BG59" s="36"/>
      <c r="BH59" s="36"/>
      <c r="BI59" s="36"/>
      <c r="BJ59" s="36"/>
      <c r="BK59" s="57"/>
      <c r="BL59" s="26" t="s">
        <v>85</v>
      </c>
      <c r="BM59" s="42"/>
      <c r="BO59" s="606"/>
    </row>
    <row r="60" spans="1:67" s="38" customFormat="1" ht="76.5" customHeight="1">
      <c r="A60" s="28" t="s">
        <v>6</v>
      </c>
      <c r="B60" s="26" t="s">
        <v>35</v>
      </c>
      <c r="C60" s="28" t="s">
        <v>11</v>
      </c>
      <c r="D60" s="34">
        <v>19</v>
      </c>
      <c r="E60" s="35" t="s">
        <v>19</v>
      </c>
      <c r="F60" s="34">
        <v>1905</v>
      </c>
      <c r="G60" s="28" t="s">
        <v>36</v>
      </c>
      <c r="H60" s="27">
        <v>1905022</v>
      </c>
      <c r="I60" s="28" t="s">
        <v>37</v>
      </c>
      <c r="J60" s="27">
        <v>190502200</v>
      </c>
      <c r="K60" s="636"/>
      <c r="L60" s="636"/>
      <c r="M60" s="27" t="s">
        <v>184</v>
      </c>
      <c r="N60" s="27"/>
      <c r="O60" s="37"/>
      <c r="P60" s="74">
        <f t="shared" si="6"/>
        <v>19225856</v>
      </c>
      <c r="Q60" s="51" t="s">
        <v>1218</v>
      </c>
      <c r="R60" s="1">
        <v>10</v>
      </c>
      <c r="S60" s="1" t="s">
        <v>118</v>
      </c>
      <c r="T60" s="27" t="s">
        <v>117</v>
      </c>
      <c r="U60" s="27" t="s">
        <v>119</v>
      </c>
      <c r="V60" s="28"/>
      <c r="W60" s="28"/>
      <c r="X60" s="28"/>
      <c r="Y60" s="28"/>
      <c r="Z60" s="1">
        <v>0</v>
      </c>
      <c r="AA60" s="1">
        <v>3</v>
      </c>
      <c r="AB60" s="1">
        <v>3</v>
      </c>
      <c r="AC60" s="1">
        <v>4</v>
      </c>
      <c r="AD60" s="582"/>
      <c r="AE60" s="582"/>
      <c r="AF60" s="582">
        <v>19225856</v>
      </c>
      <c r="AG60" s="582"/>
      <c r="AH60" s="582"/>
      <c r="AI60" s="582"/>
      <c r="AJ60" s="582"/>
      <c r="AK60" s="582"/>
      <c r="AL60" s="582"/>
      <c r="AM60" s="582"/>
      <c r="AN60" s="582"/>
      <c r="AO60" s="582"/>
      <c r="AP60" s="582"/>
      <c r="AQ60" s="582"/>
      <c r="AR60" s="582"/>
      <c r="AS60" s="582"/>
      <c r="AT60" s="593">
        <f t="shared" si="1"/>
        <v>19225856</v>
      </c>
      <c r="AU60" s="36"/>
      <c r="AV60" s="36"/>
      <c r="AW60" s="36"/>
      <c r="AX60" s="36"/>
      <c r="AY60" s="36"/>
      <c r="AZ60" s="36"/>
      <c r="BA60" s="36"/>
      <c r="BB60" s="36"/>
      <c r="BC60" s="36"/>
      <c r="BD60" s="36"/>
      <c r="BE60" s="36"/>
      <c r="BF60" s="36"/>
      <c r="BG60" s="36"/>
      <c r="BH60" s="36"/>
      <c r="BI60" s="36"/>
      <c r="BJ60" s="36"/>
      <c r="BK60" s="57"/>
      <c r="BL60" s="26" t="s">
        <v>85</v>
      </c>
      <c r="BM60" s="42"/>
      <c r="BO60" s="606"/>
    </row>
    <row r="61" spans="1:67" s="38" customFormat="1" ht="89.25">
      <c r="A61" s="28" t="s">
        <v>6</v>
      </c>
      <c r="B61" s="26" t="s">
        <v>35</v>
      </c>
      <c r="C61" s="28" t="s">
        <v>11</v>
      </c>
      <c r="D61" s="34">
        <v>19</v>
      </c>
      <c r="E61" s="35" t="s">
        <v>19</v>
      </c>
      <c r="F61" s="34">
        <v>1905</v>
      </c>
      <c r="G61" s="28" t="s">
        <v>36</v>
      </c>
      <c r="H61" s="27">
        <v>1905022</v>
      </c>
      <c r="I61" s="28" t="s">
        <v>37</v>
      </c>
      <c r="J61" s="27">
        <v>190502200</v>
      </c>
      <c r="K61" s="636"/>
      <c r="L61" s="636"/>
      <c r="M61" s="27" t="s">
        <v>184</v>
      </c>
      <c r="N61" s="27"/>
      <c r="O61" s="37"/>
      <c r="P61" s="74">
        <f t="shared" si="6"/>
        <v>4235696.4000000004</v>
      </c>
      <c r="Q61" s="51" t="s">
        <v>175</v>
      </c>
      <c r="R61" s="1">
        <v>4</v>
      </c>
      <c r="S61" s="1" t="s">
        <v>118</v>
      </c>
      <c r="T61" s="27" t="s">
        <v>117</v>
      </c>
      <c r="U61" s="27" t="s">
        <v>119</v>
      </c>
      <c r="V61" s="28"/>
      <c r="W61" s="28"/>
      <c r="X61" s="28"/>
      <c r="Y61" s="28"/>
      <c r="Z61" s="1">
        <v>0</v>
      </c>
      <c r="AA61" s="1">
        <v>1</v>
      </c>
      <c r="AB61" s="1">
        <v>1</v>
      </c>
      <c r="AC61" s="1">
        <v>2</v>
      </c>
      <c r="AD61" s="582"/>
      <c r="AE61" s="582"/>
      <c r="AF61" s="582">
        <v>4235696.4000000004</v>
      </c>
      <c r="AG61" s="582"/>
      <c r="AH61" s="582"/>
      <c r="AI61" s="582"/>
      <c r="AJ61" s="582"/>
      <c r="AK61" s="582"/>
      <c r="AL61" s="582"/>
      <c r="AM61" s="582"/>
      <c r="AN61" s="582"/>
      <c r="AO61" s="582"/>
      <c r="AP61" s="582"/>
      <c r="AQ61" s="582"/>
      <c r="AR61" s="582"/>
      <c r="AS61" s="582"/>
      <c r="AT61" s="593">
        <f t="shared" si="1"/>
        <v>4235696.4000000004</v>
      </c>
      <c r="AU61" s="36"/>
      <c r="AV61" s="36"/>
      <c r="AW61" s="36"/>
      <c r="AX61" s="36"/>
      <c r="AY61" s="36"/>
      <c r="AZ61" s="36"/>
      <c r="BA61" s="36"/>
      <c r="BB61" s="36"/>
      <c r="BC61" s="36"/>
      <c r="BD61" s="36"/>
      <c r="BE61" s="36"/>
      <c r="BF61" s="36"/>
      <c r="BG61" s="36"/>
      <c r="BH61" s="36"/>
      <c r="BI61" s="36"/>
      <c r="BJ61" s="36"/>
      <c r="BK61" s="57"/>
      <c r="BL61" s="26" t="s">
        <v>85</v>
      </c>
      <c r="BM61" s="42"/>
      <c r="BO61" s="606"/>
    </row>
    <row r="62" spans="1:67" s="38" customFormat="1" ht="78.75" customHeight="1">
      <c r="A62" s="28" t="s">
        <v>6</v>
      </c>
      <c r="B62" s="26" t="s">
        <v>35</v>
      </c>
      <c r="C62" s="28" t="s">
        <v>11</v>
      </c>
      <c r="D62" s="34">
        <v>19</v>
      </c>
      <c r="E62" s="35" t="s">
        <v>19</v>
      </c>
      <c r="F62" s="34">
        <v>1905</v>
      </c>
      <c r="G62" s="28" t="s">
        <v>36</v>
      </c>
      <c r="H62" s="27">
        <v>1905022</v>
      </c>
      <c r="I62" s="28" t="s">
        <v>37</v>
      </c>
      <c r="J62" s="27">
        <v>190502200</v>
      </c>
      <c r="K62" s="636"/>
      <c r="L62" s="636"/>
      <c r="M62" s="27" t="s">
        <v>184</v>
      </c>
      <c r="N62" s="27"/>
      <c r="O62" s="37"/>
      <c r="P62" s="74">
        <f t="shared" si="6"/>
        <v>19225856</v>
      </c>
      <c r="Q62" s="51" t="s">
        <v>1220</v>
      </c>
      <c r="R62" s="1">
        <v>10</v>
      </c>
      <c r="S62" s="1" t="s">
        <v>118</v>
      </c>
      <c r="T62" s="27" t="s">
        <v>117</v>
      </c>
      <c r="U62" s="27" t="s">
        <v>119</v>
      </c>
      <c r="V62" s="28"/>
      <c r="W62" s="28"/>
      <c r="X62" s="28"/>
      <c r="Y62" s="28"/>
      <c r="Z62" s="1">
        <v>0</v>
      </c>
      <c r="AA62" s="1">
        <v>3</v>
      </c>
      <c r="AB62" s="1">
        <v>3</v>
      </c>
      <c r="AC62" s="1">
        <v>4</v>
      </c>
      <c r="AD62" s="582"/>
      <c r="AE62" s="582"/>
      <c r="AF62" s="582">
        <v>19225856</v>
      </c>
      <c r="AG62" s="582"/>
      <c r="AH62" s="582"/>
      <c r="AI62" s="582"/>
      <c r="AJ62" s="582"/>
      <c r="AK62" s="582"/>
      <c r="AL62" s="582"/>
      <c r="AM62" s="582"/>
      <c r="AN62" s="582"/>
      <c r="AO62" s="582"/>
      <c r="AP62" s="582"/>
      <c r="AQ62" s="582"/>
      <c r="AR62" s="582"/>
      <c r="AS62" s="582"/>
      <c r="AT62" s="593">
        <f t="shared" si="1"/>
        <v>19225856</v>
      </c>
      <c r="AU62" s="36"/>
      <c r="AV62" s="36"/>
      <c r="AW62" s="36"/>
      <c r="AX62" s="36"/>
      <c r="AY62" s="36"/>
      <c r="AZ62" s="36"/>
      <c r="BA62" s="36"/>
      <c r="BB62" s="36"/>
      <c r="BC62" s="36"/>
      <c r="BD62" s="36"/>
      <c r="BE62" s="36"/>
      <c r="BF62" s="36"/>
      <c r="BG62" s="36"/>
      <c r="BH62" s="36"/>
      <c r="BI62" s="36"/>
      <c r="BJ62" s="36"/>
      <c r="BK62" s="57"/>
      <c r="BL62" s="26" t="s">
        <v>85</v>
      </c>
      <c r="BM62" s="42"/>
      <c r="BO62" s="606"/>
    </row>
    <row r="63" spans="1:67" s="38" customFormat="1" ht="63.75">
      <c r="A63" s="28" t="s">
        <v>6</v>
      </c>
      <c r="B63" s="26" t="s">
        <v>35</v>
      </c>
      <c r="C63" s="28" t="s">
        <v>11</v>
      </c>
      <c r="D63" s="34">
        <v>19</v>
      </c>
      <c r="E63" s="35" t="s">
        <v>19</v>
      </c>
      <c r="F63" s="34">
        <v>1905</v>
      </c>
      <c r="G63" s="28" t="s">
        <v>36</v>
      </c>
      <c r="H63" s="27">
        <v>1905022</v>
      </c>
      <c r="I63" s="28" t="s">
        <v>37</v>
      </c>
      <c r="J63" s="27">
        <v>190502200</v>
      </c>
      <c r="K63" s="636"/>
      <c r="L63" s="636"/>
      <c r="M63" s="27" t="s">
        <v>184</v>
      </c>
      <c r="N63" s="27"/>
      <c r="O63" s="37"/>
      <c r="P63" s="74">
        <f t="shared" si="6"/>
        <v>21952600</v>
      </c>
      <c r="Q63" s="51" t="s">
        <v>1221</v>
      </c>
      <c r="R63" s="1">
        <v>30</v>
      </c>
      <c r="S63" s="1" t="s">
        <v>118</v>
      </c>
      <c r="T63" s="27" t="s">
        <v>117</v>
      </c>
      <c r="U63" s="27" t="s">
        <v>119</v>
      </c>
      <c r="V63" s="28"/>
      <c r="W63" s="28"/>
      <c r="X63" s="28"/>
      <c r="Y63" s="28"/>
      <c r="Z63" s="1">
        <v>0</v>
      </c>
      <c r="AA63" s="1">
        <v>10</v>
      </c>
      <c r="AB63" s="1">
        <v>10</v>
      </c>
      <c r="AC63" s="1">
        <v>10</v>
      </c>
      <c r="AD63" s="582"/>
      <c r="AE63" s="582"/>
      <c r="AF63" s="582">
        <v>21952600</v>
      </c>
      <c r="AG63" s="582"/>
      <c r="AH63" s="582"/>
      <c r="AI63" s="582"/>
      <c r="AJ63" s="582"/>
      <c r="AK63" s="582"/>
      <c r="AL63" s="582"/>
      <c r="AM63" s="582"/>
      <c r="AN63" s="582"/>
      <c r="AO63" s="582"/>
      <c r="AP63" s="582"/>
      <c r="AQ63" s="582"/>
      <c r="AR63" s="582"/>
      <c r="AS63" s="582"/>
      <c r="AT63" s="593">
        <f t="shared" si="1"/>
        <v>21952600</v>
      </c>
      <c r="AU63" s="36"/>
      <c r="AV63" s="36"/>
      <c r="AW63" s="36"/>
      <c r="AX63" s="36"/>
      <c r="AY63" s="36"/>
      <c r="AZ63" s="36"/>
      <c r="BA63" s="36"/>
      <c r="BB63" s="36"/>
      <c r="BC63" s="36"/>
      <c r="BD63" s="36"/>
      <c r="BE63" s="36"/>
      <c r="BF63" s="36"/>
      <c r="BG63" s="36"/>
      <c r="BH63" s="36"/>
      <c r="BI63" s="36"/>
      <c r="BJ63" s="36"/>
      <c r="BK63" s="57"/>
      <c r="BL63" s="26" t="s">
        <v>85</v>
      </c>
      <c r="BM63" s="42"/>
      <c r="BO63" s="606"/>
    </row>
    <row r="64" spans="1:67" s="38" customFormat="1" ht="139.5" customHeight="1">
      <c r="A64" s="28" t="s">
        <v>6</v>
      </c>
      <c r="B64" s="26" t="s">
        <v>35</v>
      </c>
      <c r="C64" s="28" t="s">
        <v>11</v>
      </c>
      <c r="D64" s="34">
        <v>19</v>
      </c>
      <c r="E64" s="35" t="s">
        <v>19</v>
      </c>
      <c r="F64" s="34">
        <v>1905</v>
      </c>
      <c r="G64" s="28" t="s">
        <v>36</v>
      </c>
      <c r="H64" s="27">
        <v>1905022</v>
      </c>
      <c r="I64" s="28" t="s">
        <v>37</v>
      </c>
      <c r="J64" s="27">
        <v>190502200</v>
      </c>
      <c r="K64" s="636"/>
      <c r="L64" s="636"/>
      <c r="M64" s="27" t="s">
        <v>184</v>
      </c>
      <c r="N64" s="27"/>
      <c r="O64" s="37"/>
      <c r="P64" s="74">
        <f t="shared" si="6"/>
        <v>24355832</v>
      </c>
      <c r="Q64" s="51" t="s">
        <v>178</v>
      </c>
      <c r="R64" s="1">
        <v>100</v>
      </c>
      <c r="S64" s="1" t="s">
        <v>118</v>
      </c>
      <c r="T64" s="27" t="s">
        <v>117</v>
      </c>
      <c r="U64" s="27" t="s">
        <v>119</v>
      </c>
      <c r="V64" s="28"/>
      <c r="W64" s="28"/>
      <c r="X64" s="28"/>
      <c r="Y64" s="28"/>
      <c r="Z64" s="1">
        <v>25</v>
      </c>
      <c r="AA64" s="1">
        <v>25</v>
      </c>
      <c r="AB64" s="1">
        <v>25</v>
      </c>
      <c r="AC64" s="1">
        <v>25</v>
      </c>
      <c r="AD64" s="582"/>
      <c r="AE64" s="582"/>
      <c r="AF64" s="587">
        <v>24355832</v>
      </c>
      <c r="AG64" s="582"/>
      <c r="AH64" s="582"/>
      <c r="AI64" s="582"/>
      <c r="AJ64" s="596"/>
      <c r="AK64" s="582"/>
      <c r="AL64" s="582"/>
      <c r="AM64" s="582"/>
      <c r="AN64" s="582"/>
      <c r="AO64" s="582"/>
      <c r="AP64" s="582"/>
      <c r="AQ64" s="582"/>
      <c r="AR64" s="582"/>
      <c r="AS64" s="582"/>
      <c r="AT64" s="593">
        <f t="shared" si="1"/>
        <v>24355832</v>
      </c>
      <c r="AU64" s="36"/>
      <c r="AV64" s="36"/>
      <c r="AW64" s="36"/>
      <c r="AX64" s="36"/>
      <c r="AY64" s="36"/>
      <c r="AZ64" s="36"/>
      <c r="BA64" s="36"/>
      <c r="BB64" s="36"/>
      <c r="BC64" s="36"/>
      <c r="BD64" s="36"/>
      <c r="BE64" s="36"/>
      <c r="BF64" s="36"/>
      <c r="BG64" s="36"/>
      <c r="BH64" s="36"/>
      <c r="BI64" s="36"/>
      <c r="BJ64" s="36"/>
      <c r="BK64" s="57"/>
      <c r="BL64" s="26" t="s">
        <v>85</v>
      </c>
      <c r="BM64" s="42"/>
      <c r="BO64" s="606"/>
    </row>
    <row r="65" spans="1:67" s="38" customFormat="1" ht="89.25">
      <c r="A65" s="28" t="s">
        <v>6</v>
      </c>
      <c r="B65" s="26" t="s">
        <v>35</v>
      </c>
      <c r="C65" s="28" t="s">
        <v>11</v>
      </c>
      <c r="D65" s="34">
        <v>19</v>
      </c>
      <c r="E65" s="35" t="s">
        <v>19</v>
      </c>
      <c r="F65" s="34">
        <v>1905</v>
      </c>
      <c r="G65" s="28" t="s">
        <v>36</v>
      </c>
      <c r="H65" s="27">
        <v>1905022</v>
      </c>
      <c r="I65" s="28" t="s">
        <v>37</v>
      </c>
      <c r="J65" s="27">
        <v>190502200</v>
      </c>
      <c r="K65" s="636"/>
      <c r="L65" s="636"/>
      <c r="M65" s="27" t="s">
        <v>184</v>
      </c>
      <c r="N65" s="27"/>
      <c r="O65" s="37"/>
      <c r="P65" s="74">
        <f t="shared" si="6"/>
        <v>8561514</v>
      </c>
      <c r="Q65" s="51" t="s">
        <v>1222</v>
      </c>
      <c r="R65" s="1">
        <v>9</v>
      </c>
      <c r="S65" s="1" t="s">
        <v>118</v>
      </c>
      <c r="T65" s="27" t="s">
        <v>117</v>
      </c>
      <c r="U65" s="27" t="s">
        <v>119</v>
      </c>
      <c r="V65" s="28"/>
      <c r="W65" s="28"/>
      <c r="X65" s="28"/>
      <c r="Y65" s="28"/>
      <c r="Z65" s="1">
        <v>0</v>
      </c>
      <c r="AA65" s="1">
        <v>3</v>
      </c>
      <c r="AB65" s="1">
        <v>3</v>
      </c>
      <c r="AC65" s="1">
        <v>3</v>
      </c>
      <c r="AD65" s="582"/>
      <c r="AE65" s="582"/>
      <c r="AF65" s="587">
        <v>8561514</v>
      </c>
      <c r="AG65" s="582"/>
      <c r="AH65" s="582"/>
      <c r="AI65" s="582"/>
      <c r="AJ65" s="596"/>
      <c r="AK65" s="582"/>
      <c r="AL65" s="582"/>
      <c r="AM65" s="582"/>
      <c r="AN65" s="582"/>
      <c r="AO65" s="582"/>
      <c r="AP65" s="582"/>
      <c r="AQ65" s="582"/>
      <c r="AR65" s="582"/>
      <c r="AS65" s="582"/>
      <c r="AT65" s="593">
        <f t="shared" si="1"/>
        <v>8561514</v>
      </c>
      <c r="AU65" s="36"/>
      <c r="AV65" s="36"/>
      <c r="AW65" s="36"/>
      <c r="AX65" s="36"/>
      <c r="AY65" s="36"/>
      <c r="AZ65" s="36"/>
      <c r="BA65" s="36"/>
      <c r="BB65" s="36"/>
      <c r="BC65" s="36"/>
      <c r="BD65" s="36"/>
      <c r="BE65" s="36"/>
      <c r="BF65" s="36"/>
      <c r="BG65" s="36"/>
      <c r="BH65" s="36"/>
      <c r="BI65" s="36"/>
      <c r="BJ65" s="36"/>
      <c r="BK65" s="57"/>
      <c r="BL65" s="26" t="s">
        <v>85</v>
      </c>
      <c r="BM65" s="42"/>
      <c r="BO65" s="606"/>
    </row>
    <row r="66" spans="1:67" s="38" customFormat="1" ht="153" customHeight="1">
      <c r="A66" s="28" t="s">
        <v>6</v>
      </c>
      <c r="B66" s="26" t="s">
        <v>35</v>
      </c>
      <c r="C66" s="28" t="s">
        <v>11</v>
      </c>
      <c r="D66" s="34">
        <v>19</v>
      </c>
      <c r="E66" s="35" t="s">
        <v>19</v>
      </c>
      <c r="F66" s="34">
        <v>1905</v>
      </c>
      <c r="G66" s="28" t="s">
        <v>36</v>
      </c>
      <c r="H66" s="27">
        <v>1905022</v>
      </c>
      <c r="I66" s="28" t="s">
        <v>37</v>
      </c>
      <c r="J66" s="27">
        <v>190502200</v>
      </c>
      <c r="K66" s="636"/>
      <c r="L66" s="636"/>
      <c r="M66" s="27" t="s">
        <v>184</v>
      </c>
      <c r="N66" s="27"/>
      <c r="O66" s="37"/>
      <c r="P66" s="74">
        <f t="shared" si="6"/>
        <v>19225856</v>
      </c>
      <c r="Q66" s="51" t="s">
        <v>1223</v>
      </c>
      <c r="R66" s="1">
        <v>9</v>
      </c>
      <c r="S66" s="1" t="s">
        <v>118</v>
      </c>
      <c r="T66" s="27" t="s">
        <v>117</v>
      </c>
      <c r="U66" s="27" t="s">
        <v>119</v>
      </c>
      <c r="V66" s="28"/>
      <c r="W66" s="28"/>
      <c r="X66" s="28"/>
      <c r="Y66" s="28"/>
      <c r="Z66" s="1">
        <v>0</v>
      </c>
      <c r="AA66" s="1">
        <v>3</v>
      </c>
      <c r="AB66" s="1">
        <v>3</v>
      </c>
      <c r="AC66" s="1">
        <v>3</v>
      </c>
      <c r="AD66" s="582"/>
      <c r="AE66" s="582"/>
      <c r="AF66" s="587">
        <v>19225856</v>
      </c>
      <c r="AG66" s="582"/>
      <c r="AH66" s="582"/>
      <c r="AI66" s="582"/>
      <c r="AJ66" s="596"/>
      <c r="AK66" s="582"/>
      <c r="AL66" s="582"/>
      <c r="AM66" s="582"/>
      <c r="AN66" s="582"/>
      <c r="AO66" s="582"/>
      <c r="AP66" s="582"/>
      <c r="AQ66" s="582"/>
      <c r="AR66" s="582"/>
      <c r="AS66" s="582"/>
      <c r="AT66" s="593">
        <f t="shared" si="1"/>
        <v>19225856</v>
      </c>
      <c r="AU66" s="36"/>
      <c r="AV66" s="36"/>
      <c r="AW66" s="36"/>
      <c r="AX66" s="36"/>
      <c r="AY66" s="36"/>
      <c r="AZ66" s="36"/>
      <c r="BA66" s="36"/>
      <c r="BB66" s="36"/>
      <c r="BC66" s="36"/>
      <c r="BD66" s="36"/>
      <c r="BE66" s="36"/>
      <c r="BF66" s="36"/>
      <c r="BG66" s="36"/>
      <c r="BH66" s="36"/>
      <c r="BI66" s="36"/>
      <c r="BJ66" s="36"/>
      <c r="BK66" s="57"/>
      <c r="BL66" s="26" t="s">
        <v>85</v>
      </c>
      <c r="BM66" s="42"/>
      <c r="BO66" s="606"/>
    </row>
    <row r="67" spans="1:67" s="38" customFormat="1" ht="51">
      <c r="A67" s="28" t="s">
        <v>6</v>
      </c>
      <c r="B67" s="26" t="s">
        <v>35</v>
      </c>
      <c r="C67" s="28" t="s">
        <v>11</v>
      </c>
      <c r="D67" s="34">
        <v>19</v>
      </c>
      <c r="E67" s="35" t="s">
        <v>19</v>
      </c>
      <c r="F67" s="34">
        <v>1905</v>
      </c>
      <c r="G67" s="28" t="s">
        <v>36</v>
      </c>
      <c r="H67" s="27">
        <v>1905022</v>
      </c>
      <c r="I67" s="28" t="s">
        <v>37</v>
      </c>
      <c r="J67" s="27">
        <v>190502200</v>
      </c>
      <c r="K67" s="636"/>
      <c r="L67" s="636"/>
      <c r="M67" s="27" t="s">
        <v>184</v>
      </c>
      <c r="N67" s="27"/>
      <c r="O67" s="37"/>
      <c r="P67" s="74">
        <f t="shared" si="6"/>
        <v>23108000</v>
      </c>
      <c r="Q67" s="51" t="s">
        <v>181</v>
      </c>
      <c r="R67" s="1">
        <v>1</v>
      </c>
      <c r="S67" s="1" t="s">
        <v>118</v>
      </c>
      <c r="T67" s="27" t="s">
        <v>117</v>
      </c>
      <c r="U67" s="27" t="s">
        <v>119</v>
      </c>
      <c r="V67" s="28"/>
      <c r="W67" s="28"/>
      <c r="X67" s="28"/>
      <c r="Y67" s="28"/>
      <c r="Z67" s="1">
        <v>0</v>
      </c>
      <c r="AA67" s="1">
        <v>0</v>
      </c>
      <c r="AB67" s="1">
        <v>0</v>
      </c>
      <c r="AC67" s="1">
        <v>1</v>
      </c>
      <c r="AD67" s="582"/>
      <c r="AE67" s="582"/>
      <c r="AF67" s="587">
        <v>23108000</v>
      </c>
      <c r="AG67" s="582"/>
      <c r="AH67" s="582"/>
      <c r="AI67" s="582"/>
      <c r="AJ67" s="596"/>
      <c r="AK67" s="582"/>
      <c r="AL67" s="582"/>
      <c r="AM67" s="582"/>
      <c r="AN67" s="582"/>
      <c r="AO67" s="582"/>
      <c r="AP67" s="582"/>
      <c r="AQ67" s="582"/>
      <c r="AR67" s="582"/>
      <c r="AS67" s="582"/>
      <c r="AT67" s="593">
        <f t="shared" si="1"/>
        <v>23108000</v>
      </c>
      <c r="AU67" s="36"/>
      <c r="AV67" s="36"/>
      <c r="AW67" s="36"/>
      <c r="AX67" s="36"/>
      <c r="AY67" s="36"/>
      <c r="AZ67" s="36"/>
      <c r="BA67" s="36"/>
      <c r="BB67" s="36"/>
      <c r="BC67" s="36"/>
      <c r="BD67" s="36"/>
      <c r="BE67" s="36"/>
      <c r="BF67" s="36"/>
      <c r="BG67" s="36"/>
      <c r="BH67" s="36"/>
      <c r="BI67" s="36"/>
      <c r="BJ67" s="36"/>
      <c r="BK67" s="57"/>
      <c r="BL67" s="26" t="s">
        <v>85</v>
      </c>
      <c r="BM67" s="42"/>
      <c r="BO67" s="606"/>
    </row>
    <row r="68" spans="1:67" s="38" customFormat="1" ht="89.25">
      <c r="A68" s="28" t="s">
        <v>6</v>
      </c>
      <c r="B68" s="26" t="s">
        <v>35</v>
      </c>
      <c r="C68" s="28" t="s">
        <v>11</v>
      </c>
      <c r="D68" s="34">
        <v>19</v>
      </c>
      <c r="E68" s="35" t="s">
        <v>19</v>
      </c>
      <c r="F68" s="34">
        <v>1905</v>
      </c>
      <c r="G68" s="28" t="s">
        <v>36</v>
      </c>
      <c r="H68" s="27">
        <v>1905022</v>
      </c>
      <c r="I68" s="28" t="s">
        <v>37</v>
      </c>
      <c r="J68" s="27">
        <v>190502200</v>
      </c>
      <c r="K68" s="637"/>
      <c r="L68" s="636"/>
      <c r="M68" s="27" t="s">
        <v>184</v>
      </c>
      <c r="N68" s="27"/>
      <c r="O68" s="37"/>
      <c r="P68" s="74">
        <f t="shared" si="6"/>
        <v>10183695.6</v>
      </c>
      <c r="Q68" s="58" t="s">
        <v>1224</v>
      </c>
      <c r="R68" s="1">
        <v>100</v>
      </c>
      <c r="S68" s="1" t="s">
        <v>128</v>
      </c>
      <c r="T68" s="27" t="s">
        <v>117</v>
      </c>
      <c r="U68" s="27" t="s">
        <v>119</v>
      </c>
      <c r="V68" s="28"/>
      <c r="W68" s="28"/>
      <c r="X68" s="28"/>
      <c r="Y68" s="28"/>
      <c r="Z68" s="1">
        <v>25</v>
      </c>
      <c r="AA68" s="1">
        <v>25</v>
      </c>
      <c r="AB68" s="1">
        <v>25</v>
      </c>
      <c r="AC68" s="1">
        <v>25</v>
      </c>
      <c r="AD68" s="582"/>
      <c r="AE68" s="582"/>
      <c r="AF68" s="587">
        <v>10183695.6</v>
      </c>
      <c r="AG68" s="582"/>
      <c r="AH68" s="582"/>
      <c r="AI68" s="582"/>
      <c r="AJ68" s="596"/>
      <c r="AK68" s="582"/>
      <c r="AL68" s="582"/>
      <c r="AM68" s="582"/>
      <c r="AN68" s="582"/>
      <c r="AO68" s="582"/>
      <c r="AP68" s="582"/>
      <c r="AQ68" s="582"/>
      <c r="AR68" s="582"/>
      <c r="AS68" s="582"/>
      <c r="AT68" s="593">
        <f t="shared" si="1"/>
        <v>10183695.6</v>
      </c>
      <c r="AU68" s="36"/>
      <c r="AV68" s="36"/>
      <c r="AW68" s="36"/>
      <c r="AX68" s="36"/>
      <c r="AY68" s="36"/>
      <c r="AZ68" s="36"/>
      <c r="BA68" s="36"/>
      <c r="BB68" s="36"/>
      <c r="BC68" s="36"/>
      <c r="BD68" s="36"/>
      <c r="BE68" s="36"/>
      <c r="BF68" s="36"/>
      <c r="BG68" s="36"/>
      <c r="BH68" s="36"/>
      <c r="BI68" s="36"/>
      <c r="BJ68" s="36"/>
      <c r="BK68" s="57"/>
      <c r="BL68" s="26" t="s">
        <v>85</v>
      </c>
      <c r="BM68" s="42"/>
      <c r="BO68" s="606"/>
    </row>
    <row r="69" spans="1:67" s="38" customFormat="1" ht="153" customHeight="1">
      <c r="A69" s="28" t="s">
        <v>6</v>
      </c>
      <c r="B69" s="26" t="s">
        <v>38</v>
      </c>
      <c r="C69" s="28" t="s">
        <v>11</v>
      </c>
      <c r="D69" s="34">
        <v>19</v>
      </c>
      <c r="E69" s="35" t="s">
        <v>19</v>
      </c>
      <c r="F69" s="34">
        <v>1905</v>
      </c>
      <c r="G69" s="28" t="s">
        <v>39</v>
      </c>
      <c r="H69" s="27">
        <v>1905028</v>
      </c>
      <c r="I69" s="28" t="s">
        <v>40</v>
      </c>
      <c r="J69" s="27">
        <v>190502801</v>
      </c>
      <c r="K69" s="1">
        <v>1100</v>
      </c>
      <c r="L69" s="56">
        <v>1119</v>
      </c>
      <c r="M69" s="27" t="s">
        <v>187</v>
      </c>
      <c r="N69" s="27"/>
      <c r="O69" s="37"/>
      <c r="P69" s="74">
        <f t="shared" si="6"/>
        <v>2748382.33</v>
      </c>
      <c r="Q69" s="70" t="s">
        <v>1225</v>
      </c>
      <c r="R69" s="1">
        <v>1</v>
      </c>
      <c r="S69" s="1" t="s">
        <v>118</v>
      </c>
      <c r="T69" s="27" t="s">
        <v>117</v>
      </c>
      <c r="U69" s="27" t="s">
        <v>119</v>
      </c>
      <c r="V69" s="28"/>
      <c r="W69" s="28"/>
      <c r="X69" s="28"/>
      <c r="Y69" s="28"/>
      <c r="Z69" s="1">
        <v>0</v>
      </c>
      <c r="AA69" s="1">
        <v>0</v>
      </c>
      <c r="AB69" s="1">
        <v>0</v>
      </c>
      <c r="AC69" s="1">
        <v>1</v>
      </c>
      <c r="AD69" s="582"/>
      <c r="AE69" s="582"/>
      <c r="AF69" s="577">
        <v>2748382.33</v>
      </c>
      <c r="AG69" s="582"/>
      <c r="AH69" s="582"/>
      <c r="AI69" s="582"/>
      <c r="AJ69" s="582"/>
      <c r="AK69" s="582"/>
      <c r="AL69" s="582"/>
      <c r="AM69" s="582"/>
      <c r="AN69" s="582"/>
      <c r="AO69" s="582"/>
      <c r="AP69" s="582"/>
      <c r="AQ69" s="582"/>
      <c r="AR69" s="582"/>
      <c r="AS69" s="582"/>
      <c r="AT69" s="593">
        <f t="shared" si="1"/>
        <v>2748382.33</v>
      </c>
      <c r="AU69" s="36"/>
      <c r="AV69" s="36"/>
      <c r="AW69" s="36"/>
      <c r="AX69" s="36"/>
      <c r="AY69" s="36"/>
      <c r="AZ69" s="36"/>
      <c r="BA69" s="36"/>
      <c r="BB69" s="36"/>
      <c r="BC69" s="36"/>
      <c r="BD69" s="36"/>
      <c r="BE69" s="36"/>
      <c r="BF69" s="36"/>
      <c r="BG69" s="36"/>
      <c r="BH69" s="36"/>
      <c r="BI69" s="36"/>
      <c r="BJ69" s="36"/>
      <c r="BK69" s="57"/>
      <c r="BL69" s="26" t="s">
        <v>85</v>
      </c>
      <c r="BM69" s="42"/>
      <c r="BO69" s="606"/>
    </row>
    <row r="70" spans="1:67" s="38" customFormat="1" ht="127.5">
      <c r="A70" s="28" t="s">
        <v>6</v>
      </c>
      <c r="B70" s="26" t="s">
        <v>41</v>
      </c>
      <c r="C70" s="28" t="s">
        <v>11</v>
      </c>
      <c r="D70" s="34">
        <v>19</v>
      </c>
      <c r="E70" s="35" t="s">
        <v>19</v>
      </c>
      <c r="F70" s="34">
        <v>1905</v>
      </c>
      <c r="G70" s="28" t="s">
        <v>39</v>
      </c>
      <c r="H70" s="27">
        <v>1905028</v>
      </c>
      <c r="I70" s="28" t="s">
        <v>42</v>
      </c>
      <c r="J70" s="27">
        <v>190502800</v>
      </c>
      <c r="K70" s="1">
        <v>1</v>
      </c>
      <c r="L70" s="56">
        <v>1</v>
      </c>
      <c r="M70" s="27" t="s">
        <v>187</v>
      </c>
      <c r="N70" s="27"/>
      <c r="O70" s="37"/>
      <c r="P70" s="74">
        <f t="shared" si="6"/>
        <v>7073913.3899999997</v>
      </c>
      <c r="Q70" s="71" t="s">
        <v>186</v>
      </c>
      <c r="R70" s="1">
        <v>5</v>
      </c>
      <c r="S70" s="1" t="s">
        <v>118</v>
      </c>
      <c r="T70" s="27" t="s">
        <v>117</v>
      </c>
      <c r="U70" s="27" t="s">
        <v>119</v>
      </c>
      <c r="V70" s="28"/>
      <c r="W70" s="28"/>
      <c r="X70" s="28"/>
      <c r="Y70" s="28"/>
      <c r="Z70" s="1">
        <v>0</v>
      </c>
      <c r="AA70" s="1">
        <v>1</v>
      </c>
      <c r="AB70" s="1">
        <v>2</v>
      </c>
      <c r="AC70" s="1">
        <v>2</v>
      </c>
      <c r="AD70" s="582"/>
      <c r="AE70" s="582"/>
      <c r="AF70" s="577">
        <v>7073913.3899999997</v>
      </c>
      <c r="AG70" s="582"/>
      <c r="AH70" s="582"/>
      <c r="AI70" s="582"/>
      <c r="AJ70" s="582"/>
      <c r="AK70" s="582"/>
      <c r="AL70" s="582"/>
      <c r="AM70" s="582"/>
      <c r="AN70" s="582"/>
      <c r="AO70" s="582"/>
      <c r="AP70" s="582"/>
      <c r="AQ70" s="582"/>
      <c r="AR70" s="582"/>
      <c r="AS70" s="582"/>
      <c r="AT70" s="593">
        <f t="shared" si="1"/>
        <v>7073913.3899999997</v>
      </c>
      <c r="AU70" s="36"/>
      <c r="AV70" s="36"/>
      <c r="AW70" s="36"/>
      <c r="AX70" s="36"/>
      <c r="AY70" s="36"/>
      <c r="AZ70" s="36"/>
      <c r="BA70" s="36"/>
      <c r="BB70" s="36"/>
      <c r="BC70" s="36"/>
      <c r="BD70" s="36"/>
      <c r="BE70" s="36"/>
      <c r="BF70" s="36"/>
      <c r="BG70" s="36"/>
      <c r="BH70" s="36"/>
      <c r="BI70" s="36"/>
      <c r="BJ70" s="36"/>
      <c r="BK70" s="57"/>
      <c r="BL70" s="26" t="s">
        <v>85</v>
      </c>
      <c r="BM70" s="42"/>
      <c r="BO70" s="606"/>
    </row>
    <row r="71" spans="1:67" s="38" customFormat="1" ht="89.25">
      <c r="A71" s="28" t="s">
        <v>6</v>
      </c>
      <c r="B71" s="26" t="s">
        <v>43</v>
      </c>
      <c r="C71" s="28" t="s">
        <v>11</v>
      </c>
      <c r="D71" s="34">
        <v>19</v>
      </c>
      <c r="E71" s="35" t="s">
        <v>19</v>
      </c>
      <c r="F71" s="34">
        <v>1905</v>
      </c>
      <c r="G71" s="28" t="s">
        <v>44</v>
      </c>
      <c r="H71" s="27">
        <v>1905021</v>
      </c>
      <c r="I71" s="28" t="s">
        <v>45</v>
      </c>
      <c r="J71" s="27">
        <v>190502100</v>
      </c>
      <c r="K71" s="635">
        <v>3</v>
      </c>
      <c r="L71" s="636">
        <v>2</v>
      </c>
      <c r="M71" s="27" t="s">
        <v>197</v>
      </c>
      <c r="N71" s="27"/>
      <c r="O71" s="37"/>
      <c r="P71" s="74">
        <f t="shared" si="6"/>
        <v>7030100.6200000001</v>
      </c>
      <c r="Q71" s="70" t="s">
        <v>1226</v>
      </c>
      <c r="R71" s="1">
        <v>1</v>
      </c>
      <c r="S71" s="1" t="s">
        <v>118</v>
      </c>
      <c r="T71" s="27" t="s">
        <v>117</v>
      </c>
      <c r="U71" s="27" t="s">
        <v>119</v>
      </c>
      <c r="V71" s="28"/>
      <c r="W71" s="28"/>
      <c r="X71" s="28"/>
      <c r="Y71" s="28"/>
      <c r="Z71" s="1">
        <v>0</v>
      </c>
      <c r="AA71" s="1">
        <v>0</v>
      </c>
      <c r="AB71" s="1">
        <v>1</v>
      </c>
      <c r="AC71" s="50">
        <v>0</v>
      </c>
      <c r="AD71" s="582"/>
      <c r="AE71" s="582"/>
      <c r="AF71" s="709">
        <v>7030100.6200000001</v>
      </c>
      <c r="AG71" s="582"/>
      <c r="AH71" s="582"/>
      <c r="AI71" s="582"/>
      <c r="AJ71" s="582"/>
      <c r="AK71" s="582"/>
      <c r="AL71" s="582"/>
      <c r="AM71" s="582"/>
      <c r="AN71" s="582"/>
      <c r="AO71" s="582"/>
      <c r="AP71" s="582"/>
      <c r="AQ71" s="582"/>
      <c r="AR71" s="582"/>
      <c r="AS71" s="582"/>
      <c r="AT71" s="593">
        <f t="shared" si="1"/>
        <v>7030100.6200000001</v>
      </c>
      <c r="AU71" s="36"/>
      <c r="AV71" s="36"/>
      <c r="AW71" s="36"/>
      <c r="AX71" s="36"/>
      <c r="AY71" s="36"/>
      <c r="AZ71" s="36"/>
      <c r="BA71" s="36"/>
      <c r="BB71" s="36"/>
      <c r="BC71" s="36"/>
      <c r="BD71" s="36"/>
      <c r="BE71" s="36"/>
      <c r="BF71" s="36"/>
      <c r="BG71" s="36"/>
      <c r="BH71" s="36"/>
      <c r="BI71" s="36"/>
      <c r="BJ71" s="36"/>
      <c r="BK71" s="57"/>
      <c r="BL71" s="26" t="s">
        <v>85</v>
      </c>
      <c r="BM71" s="42"/>
      <c r="BO71" s="606"/>
    </row>
    <row r="72" spans="1:67" s="38" customFormat="1" ht="63.75">
      <c r="A72" s="28" t="s">
        <v>6</v>
      </c>
      <c r="B72" s="26" t="s">
        <v>43</v>
      </c>
      <c r="C72" s="28" t="s">
        <v>11</v>
      </c>
      <c r="D72" s="34">
        <v>19</v>
      </c>
      <c r="E72" s="35" t="s">
        <v>19</v>
      </c>
      <c r="F72" s="34">
        <v>1905</v>
      </c>
      <c r="G72" s="28" t="s">
        <v>44</v>
      </c>
      <c r="H72" s="27">
        <v>1905021</v>
      </c>
      <c r="I72" s="28" t="s">
        <v>45</v>
      </c>
      <c r="J72" s="27">
        <v>190502100</v>
      </c>
      <c r="K72" s="636"/>
      <c r="L72" s="636"/>
      <c r="M72" s="27" t="s">
        <v>197</v>
      </c>
      <c r="N72" s="27"/>
      <c r="O72" s="37"/>
      <c r="P72" s="74">
        <f t="shared" si="6"/>
        <v>40439000</v>
      </c>
      <c r="Q72" s="70" t="s">
        <v>198</v>
      </c>
      <c r="R72" s="1">
        <v>1</v>
      </c>
      <c r="S72" s="1" t="s">
        <v>118</v>
      </c>
      <c r="T72" s="27" t="s">
        <v>117</v>
      </c>
      <c r="U72" s="27" t="s">
        <v>119</v>
      </c>
      <c r="V72" s="28"/>
      <c r="W72" s="28"/>
      <c r="X72" s="28"/>
      <c r="Y72" s="28"/>
      <c r="Z72" s="1">
        <v>0</v>
      </c>
      <c r="AA72" s="1">
        <v>0</v>
      </c>
      <c r="AB72" s="1">
        <v>0</v>
      </c>
      <c r="AC72" s="1">
        <v>1</v>
      </c>
      <c r="AD72" s="582"/>
      <c r="AE72" s="582"/>
      <c r="AF72" s="709">
        <v>40439000</v>
      </c>
      <c r="AG72" s="582"/>
      <c r="AH72" s="582"/>
      <c r="AI72" s="582"/>
      <c r="AJ72" s="582"/>
      <c r="AK72" s="582"/>
      <c r="AL72" s="582"/>
      <c r="AM72" s="582"/>
      <c r="AN72" s="582"/>
      <c r="AO72" s="582"/>
      <c r="AP72" s="582"/>
      <c r="AQ72" s="582"/>
      <c r="AR72" s="582"/>
      <c r="AS72" s="582"/>
      <c r="AT72" s="593">
        <f t="shared" si="1"/>
        <v>40439000</v>
      </c>
      <c r="AU72" s="36"/>
      <c r="AV72" s="36"/>
      <c r="AW72" s="36"/>
      <c r="AX72" s="36"/>
      <c r="AY72" s="36"/>
      <c r="AZ72" s="36"/>
      <c r="BA72" s="36"/>
      <c r="BB72" s="36"/>
      <c r="BC72" s="36"/>
      <c r="BD72" s="36"/>
      <c r="BE72" s="36"/>
      <c r="BF72" s="36"/>
      <c r="BG72" s="36"/>
      <c r="BH72" s="36"/>
      <c r="BI72" s="36"/>
      <c r="BJ72" s="36"/>
      <c r="BK72" s="57"/>
      <c r="BL72" s="26" t="s">
        <v>85</v>
      </c>
      <c r="BM72" s="42"/>
      <c r="BO72" s="606"/>
    </row>
    <row r="73" spans="1:67" s="38" customFormat="1" ht="63.75">
      <c r="A73" s="28" t="s">
        <v>6</v>
      </c>
      <c r="B73" s="26" t="s">
        <v>43</v>
      </c>
      <c r="C73" s="28" t="s">
        <v>11</v>
      </c>
      <c r="D73" s="34">
        <v>19</v>
      </c>
      <c r="E73" s="35" t="s">
        <v>19</v>
      </c>
      <c r="F73" s="34">
        <v>1905</v>
      </c>
      <c r="G73" s="28" t="s">
        <v>44</v>
      </c>
      <c r="H73" s="27">
        <v>1905021</v>
      </c>
      <c r="I73" s="28" t="s">
        <v>45</v>
      </c>
      <c r="J73" s="27">
        <v>190502100</v>
      </c>
      <c r="K73" s="636"/>
      <c r="L73" s="636"/>
      <c r="M73" s="27" t="s">
        <v>197</v>
      </c>
      <c r="N73" s="27"/>
      <c r="O73" s="37"/>
      <c r="P73" s="74">
        <f t="shared" si="6"/>
        <v>28885000</v>
      </c>
      <c r="Q73" s="70" t="s">
        <v>1227</v>
      </c>
      <c r="R73" s="1">
        <v>1</v>
      </c>
      <c r="S73" s="1" t="s">
        <v>118</v>
      </c>
      <c r="T73" s="27" t="s">
        <v>117</v>
      </c>
      <c r="U73" s="27" t="s">
        <v>119</v>
      </c>
      <c r="V73" s="28"/>
      <c r="W73" s="28"/>
      <c r="X73" s="28"/>
      <c r="Y73" s="28"/>
      <c r="Z73" s="1">
        <v>0</v>
      </c>
      <c r="AA73" s="1">
        <v>0</v>
      </c>
      <c r="AB73" s="1">
        <v>0</v>
      </c>
      <c r="AC73" s="1">
        <v>1</v>
      </c>
      <c r="AD73" s="582"/>
      <c r="AE73" s="582"/>
      <c r="AF73" s="709">
        <v>28885000</v>
      </c>
      <c r="AG73" s="582"/>
      <c r="AH73" s="582"/>
      <c r="AI73" s="582"/>
      <c r="AJ73" s="582"/>
      <c r="AK73" s="582"/>
      <c r="AL73" s="582"/>
      <c r="AM73" s="582"/>
      <c r="AN73" s="582"/>
      <c r="AO73" s="582"/>
      <c r="AP73" s="582"/>
      <c r="AQ73" s="582"/>
      <c r="AR73" s="582"/>
      <c r="AS73" s="582"/>
      <c r="AT73" s="593">
        <f t="shared" si="1"/>
        <v>28885000</v>
      </c>
      <c r="AU73" s="36"/>
      <c r="AV73" s="36"/>
      <c r="AW73" s="36"/>
      <c r="AX73" s="36"/>
      <c r="AY73" s="36"/>
      <c r="AZ73" s="36"/>
      <c r="BA73" s="36"/>
      <c r="BB73" s="36"/>
      <c r="BC73" s="36"/>
      <c r="BD73" s="36"/>
      <c r="BE73" s="36"/>
      <c r="BF73" s="36"/>
      <c r="BG73" s="36"/>
      <c r="BH73" s="36"/>
      <c r="BI73" s="36"/>
      <c r="BJ73" s="36"/>
      <c r="BK73" s="57"/>
      <c r="BL73" s="26" t="s">
        <v>85</v>
      </c>
      <c r="BM73" s="42"/>
      <c r="BO73" s="606"/>
    </row>
    <row r="74" spans="1:67" s="38" customFormat="1" ht="63.75">
      <c r="A74" s="28" t="s">
        <v>6</v>
      </c>
      <c r="B74" s="26" t="s">
        <v>43</v>
      </c>
      <c r="C74" s="28" t="s">
        <v>11</v>
      </c>
      <c r="D74" s="34">
        <v>19</v>
      </c>
      <c r="E74" s="35" t="s">
        <v>19</v>
      </c>
      <c r="F74" s="34">
        <v>1905</v>
      </c>
      <c r="G74" s="28" t="s">
        <v>44</v>
      </c>
      <c r="H74" s="27">
        <v>1905021</v>
      </c>
      <c r="I74" s="28" t="s">
        <v>45</v>
      </c>
      <c r="J74" s="27">
        <v>190502100</v>
      </c>
      <c r="K74" s="636"/>
      <c r="L74" s="636"/>
      <c r="M74" s="27" t="s">
        <v>197</v>
      </c>
      <c r="N74" s="27"/>
      <c r="O74" s="37"/>
      <c r="P74" s="74">
        <f t="shared" si="6"/>
        <v>18189448.190000001</v>
      </c>
      <c r="Q74" s="51" t="s">
        <v>1228</v>
      </c>
      <c r="R74" s="1">
        <v>1</v>
      </c>
      <c r="S74" s="1" t="s">
        <v>118</v>
      </c>
      <c r="T74" s="27" t="s">
        <v>117</v>
      </c>
      <c r="U74" s="27" t="s">
        <v>119</v>
      </c>
      <c r="V74" s="28"/>
      <c r="W74" s="28"/>
      <c r="X74" s="28"/>
      <c r="Y74" s="28"/>
      <c r="Z74" s="1">
        <v>0</v>
      </c>
      <c r="AA74" s="1">
        <v>0</v>
      </c>
      <c r="AB74" s="1">
        <v>1</v>
      </c>
      <c r="AC74" s="1">
        <v>0</v>
      </c>
      <c r="AD74" s="582"/>
      <c r="AE74" s="582"/>
      <c r="AF74" s="709">
        <v>18189448.190000001</v>
      </c>
      <c r="AG74" s="582"/>
      <c r="AH74" s="582"/>
      <c r="AI74" s="582"/>
      <c r="AJ74" s="582"/>
      <c r="AK74" s="582"/>
      <c r="AL74" s="582"/>
      <c r="AM74" s="582"/>
      <c r="AN74" s="582"/>
      <c r="AO74" s="582"/>
      <c r="AP74" s="582"/>
      <c r="AQ74" s="582"/>
      <c r="AR74" s="582"/>
      <c r="AS74" s="582"/>
      <c r="AT74" s="593">
        <f t="shared" si="1"/>
        <v>18189448.190000001</v>
      </c>
      <c r="AU74" s="36"/>
      <c r="AV74" s="36"/>
      <c r="AW74" s="36"/>
      <c r="AX74" s="36"/>
      <c r="AY74" s="36"/>
      <c r="AZ74" s="36"/>
      <c r="BA74" s="36"/>
      <c r="BB74" s="36"/>
      <c r="BC74" s="36"/>
      <c r="BD74" s="36"/>
      <c r="BE74" s="36"/>
      <c r="BF74" s="36"/>
      <c r="BG74" s="36"/>
      <c r="BH74" s="36"/>
      <c r="BI74" s="36"/>
      <c r="BJ74" s="36"/>
      <c r="BK74" s="57"/>
      <c r="BL74" s="26" t="s">
        <v>85</v>
      </c>
      <c r="BM74" s="42"/>
      <c r="BO74" s="606"/>
    </row>
    <row r="75" spans="1:67" s="38" customFormat="1" ht="63.75">
      <c r="A75" s="28" t="s">
        <v>6</v>
      </c>
      <c r="B75" s="26" t="s">
        <v>43</v>
      </c>
      <c r="C75" s="28" t="s">
        <v>11</v>
      </c>
      <c r="D75" s="34">
        <v>19</v>
      </c>
      <c r="E75" s="35" t="s">
        <v>19</v>
      </c>
      <c r="F75" s="34">
        <v>1905</v>
      </c>
      <c r="G75" s="28" t="s">
        <v>44</v>
      </c>
      <c r="H75" s="27">
        <v>1905021</v>
      </c>
      <c r="I75" s="28" t="s">
        <v>45</v>
      </c>
      <c r="J75" s="27">
        <v>190502100</v>
      </c>
      <c r="K75" s="636"/>
      <c r="L75" s="636"/>
      <c r="M75" s="27" t="s">
        <v>197</v>
      </c>
      <c r="N75" s="27"/>
      <c r="O75" s="37"/>
      <c r="P75" s="74">
        <f t="shared" si="6"/>
        <v>7382728.7000000002</v>
      </c>
      <c r="Q75" s="70" t="s">
        <v>191</v>
      </c>
      <c r="R75" s="1">
        <v>4</v>
      </c>
      <c r="S75" s="1" t="s">
        <v>118</v>
      </c>
      <c r="T75" s="27" t="s">
        <v>117</v>
      </c>
      <c r="U75" s="27" t="s">
        <v>119</v>
      </c>
      <c r="V75" s="28"/>
      <c r="W75" s="28"/>
      <c r="X75" s="28"/>
      <c r="Y75" s="28"/>
      <c r="Z75" s="1">
        <v>0</v>
      </c>
      <c r="AA75" s="1">
        <v>1</v>
      </c>
      <c r="AB75" s="1">
        <v>1</v>
      </c>
      <c r="AC75" s="1">
        <v>2</v>
      </c>
      <c r="AD75" s="582"/>
      <c r="AE75" s="582"/>
      <c r="AF75" s="709">
        <v>7382728.7000000002</v>
      </c>
      <c r="AG75" s="582"/>
      <c r="AH75" s="582"/>
      <c r="AI75" s="582"/>
      <c r="AJ75" s="582"/>
      <c r="AK75" s="582"/>
      <c r="AL75" s="582"/>
      <c r="AM75" s="582"/>
      <c r="AN75" s="582"/>
      <c r="AO75" s="582"/>
      <c r="AP75" s="582"/>
      <c r="AQ75" s="582"/>
      <c r="AR75" s="582"/>
      <c r="AS75" s="582"/>
      <c r="AT75" s="593">
        <f t="shared" si="1"/>
        <v>7382728.7000000002</v>
      </c>
      <c r="AU75" s="36"/>
      <c r="AV75" s="36"/>
      <c r="AW75" s="36"/>
      <c r="AX75" s="36"/>
      <c r="AY75" s="36"/>
      <c r="AZ75" s="36"/>
      <c r="BA75" s="36"/>
      <c r="BB75" s="36"/>
      <c r="BC75" s="36"/>
      <c r="BD75" s="36"/>
      <c r="BE75" s="36"/>
      <c r="BF75" s="36"/>
      <c r="BG75" s="36"/>
      <c r="BH75" s="36"/>
      <c r="BI75" s="36"/>
      <c r="BJ75" s="36"/>
      <c r="BK75" s="57"/>
      <c r="BL75" s="26" t="s">
        <v>85</v>
      </c>
      <c r="BM75" s="42"/>
      <c r="BO75" s="606"/>
    </row>
    <row r="76" spans="1:67" s="38" customFormat="1" ht="71.25" customHeight="1">
      <c r="A76" s="28" t="s">
        <v>6</v>
      </c>
      <c r="B76" s="26" t="s">
        <v>43</v>
      </c>
      <c r="C76" s="28" t="s">
        <v>11</v>
      </c>
      <c r="D76" s="34">
        <v>19</v>
      </c>
      <c r="E76" s="35" t="s">
        <v>19</v>
      </c>
      <c r="F76" s="34">
        <v>1905</v>
      </c>
      <c r="G76" s="28" t="s">
        <v>44</v>
      </c>
      <c r="H76" s="27">
        <v>1905021</v>
      </c>
      <c r="I76" s="28" t="s">
        <v>45</v>
      </c>
      <c r="J76" s="27">
        <v>190502100</v>
      </c>
      <c r="K76" s="636"/>
      <c r="L76" s="636"/>
      <c r="M76" s="27" t="s">
        <v>197</v>
      </c>
      <c r="N76" s="27"/>
      <c r="O76" s="37"/>
      <c r="P76" s="74">
        <f t="shared" si="6"/>
        <v>13182198.4</v>
      </c>
      <c r="Q76" s="70" t="s">
        <v>1229</v>
      </c>
      <c r="R76" s="1">
        <v>20</v>
      </c>
      <c r="S76" s="1" t="s">
        <v>118</v>
      </c>
      <c r="T76" s="27" t="s">
        <v>117</v>
      </c>
      <c r="U76" s="27" t="s">
        <v>119</v>
      </c>
      <c r="V76" s="28"/>
      <c r="W76" s="28"/>
      <c r="X76" s="28"/>
      <c r="Y76" s="28"/>
      <c r="Z76" s="1">
        <v>0</v>
      </c>
      <c r="AA76" s="1">
        <v>5</v>
      </c>
      <c r="AB76" s="1">
        <v>5</v>
      </c>
      <c r="AC76" s="1">
        <v>10</v>
      </c>
      <c r="AD76" s="582"/>
      <c r="AE76" s="582"/>
      <c r="AF76" s="709">
        <v>13182198.4</v>
      </c>
      <c r="AG76" s="582"/>
      <c r="AH76" s="582"/>
      <c r="AI76" s="582"/>
      <c r="AJ76" s="582"/>
      <c r="AK76" s="582"/>
      <c r="AL76" s="582"/>
      <c r="AM76" s="582"/>
      <c r="AN76" s="582"/>
      <c r="AO76" s="582"/>
      <c r="AP76" s="582"/>
      <c r="AQ76" s="582"/>
      <c r="AR76" s="582"/>
      <c r="AS76" s="582"/>
      <c r="AT76" s="593">
        <f t="shared" si="1"/>
        <v>13182198.4</v>
      </c>
      <c r="AU76" s="36"/>
      <c r="AV76" s="36"/>
      <c r="AW76" s="36"/>
      <c r="AX76" s="36"/>
      <c r="AY76" s="36"/>
      <c r="AZ76" s="36"/>
      <c r="BA76" s="36"/>
      <c r="BB76" s="36"/>
      <c r="BC76" s="36"/>
      <c r="BD76" s="36"/>
      <c r="BE76" s="36"/>
      <c r="BF76" s="36"/>
      <c r="BG76" s="36"/>
      <c r="BH76" s="36"/>
      <c r="BI76" s="36"/>
      <c r="BJ76" s="36"/>
      <c r="BK76" s="57"/>
      <c r="BL76" s="26" t="s">
        <v>85</v>
      </c>
      <c r="BM76" s="42"/>
      <c r="BO76" s="606"/>
    </row>
    <row r="77" spans="1:67" s="38" customFormat="1" ht="76.5">
      <c r="A77" s="28" t="s">
        <v>6</v>
      </c>
      <c r="B77" s="26" t="s">
        <v>43</v>
      </c>
      <c r="C77" s="28" t="s">
        <v>11</v>
      </c>
      <c r="D77" s="34">
        <v>19</v>
      </c>
      <c r="E77" s="35" t="s">
        <v>19</v>
      </c>
      <c r="F77" s="34">
        <v>1905</v>
      </c>
      <c r="G77" s="28" t="s">
        <v>44</v>
      </c>
      <c r="H77" s="27">
        <v>1905021</v>
      </c>
      <c r="I77" s="28" t="s">
        <v>45</v>
      </c>
      <c r="J77" s="27">
        <v>190502100</v>
      </c>
      <c r="K77" s="636"/>
      <c r="L77" s="636"/>
      <c r="M77" s="27" t="s">
        <v>197</v>
      </c>
      <c r="N77" s="27"/>
      <c r="O77" s="37"/>
      <c r="P77" s="74">
        <f t="shared" si="6"/>
        <v>7030100.6399999997</v>
      </c>
      <c r="Q77" s="70" t="s">
        <v>1230</v>
      </c>
      <c r="R77" s="1">
        <v>10</v>
      </c>
      <c r="S77" s="1" t="s">
        <v>118</v>
      </c>
      <c r="T77" s="27" t="s">
        <v>117</v>
      </c>
      <c r="U77" s="27" t="s">
        <v>119</v>
      </c>
      <c r="V77" s="28"/>
      <c r="W77" s="28"/>
      <c r="X77" s="28"/>
      <c r="Y77" s="28"/>
      <c r="Z77" s="1">
        <v>0</v>
      </c>
      <c r="AA77" s="1">
        <v>0</v>
      </c>
      <c r="AB77" s="1">
        <v>5</v>
      </c>
      <c r="AC77" s="1">
        <v>5</v>
      </c>
      <c r="AD77" s="582"/>
      <c r="AE77" s="582"/>
      <c r="AF77" s="709">
        <v>7030100.6399999997</v>
      </c>
      <c r="AG77" s="582"/>
      <c r="AH77" s="582"/>
      <c r="AI77" s="582"/>
      <c r="AJ77" s="582"/>
      <c r="AK77" s="582"/>
      <c r="AL77" s="582"/>
      <c r="AM77" s="582"/>
      <c r="AN77" s="582"/>
      <c r="AO77" s="582"/>
      <c r="AP77" s="582"/>
      <c r="AQ77" s="582"/>
      <c r="AR77" s="582"/>
      <c r="AS77" s="582"/>
      <c r="AT77" s="593">
        <f t="shared" si="1"/>
        <v>7030100.6399999997</v>
      </c>
      <c r="AU77" s="36"/>
      <c r="AV77" s="36"/>
      <c r="AW77" s="36"/>
      <c r="AX77" s="36"/>
      <c r="AY77" s="36"/>
      <c r="AZ77" s="36"/>
      <c r="BA77" s="36"/>
      <c r="BB77" s="36"/>
      <c r="BC77" s="36"/>
      <c r="BD77" s="36"/>
      <c r="BE77" s="36"/>
      <c r="BF77" s="36"/>
      <c r="BG77" s="36"/>
      <c r="BH77" s="36"/>
      <c r="BI77" s="36"/>
      <c r="BJ77" s="36"/>
      <c r="BK77" s="57"/>
      <c r="BL77" s="26" t="s">
        <v>85</v>
      </c>
      <c r="BM77" s="42"/>
      <c r="BO77" s="606"/>
    </row>
    <row r="78" spans="1:67" s="38" customFormat="1" ht="76.5">
      <c r="A78" s="28" t="s">
        <v>6</v>
      </c>
      <c r="B78" s="26" t="s">
        <v>43</v>
      </c>
      <c r="C78" s="28" t="s">
        <v>11</v>
      </c>
      <c r="D78" s="34">
        <v>19</v>
      </c>
      <c r="E78" s="35" t="s">
        <v>19</v>
      </c>
      <c r="F78" s="34">
        <v>1905</v>
      </c>
      <c r="G78" s="28" t="s">
        <v>44</v>
      </c>
      <c r="H78" s="27">
        <v>1905021</v>
      </c>
      <c r="I78" s="28" t="s">
        <v>45</v>
      </c>
      <c r="J78" s="27">
        <v>190502100</v>
      </c>
      <c r="K78" s="636"/>
      <c r="L78" s="636"/>
      <c r="M78" s="27" t="s">
        <v>197</v>
      </c>
      <c r="N78" s="27"/>
      <c r="O78" s="37"/>
      <c r="P78" s="74">
        <f t="shared" si="6"/>
        <v>4081048.42</v>
      </c>
      <c r="Q78" s="70" t="s">
        <v>194</v>
      </c>
      <c r="R78" s="1">
        <v>6</v>
      </c>
      <c r="S78" s="1" t="s">
        <v>118</v>
      </c>
      <c r="T78" s="27" t="s">
        <v>117</v>
      </c>
      <c r="U78" s="27" t="s">
        <v>119</v>
      </c>
      <c r="V78" s="28"/>
      <c r="W78" s="28"/>
      <c r="X78" s="28"/>
      <c r="Y78" s="28"/>
      <c r="Z78" s="1">
        <v>0</v>
      </c>
      <c r="AA78" s="1">
        <v>2</v>
      </c>
      <c r="AB78" s="1">
        <v>2</v>
      </c>
      <c r="AC78" s="1">
        <v>2</v>
      </c>
      <c r="AD78" s="582"/>
      <c r="AE78" s="582"/>
      <c r="AF78" s="708">
        <v>4081048.42</v>
      </c>
      <c r="AG78" s="582"/>
      <c r="AH78" s="582"/>
      <c r="AI78" s="582"/>
      <c r="AJ78" s="582"/>
      <c r="AK78" s="582"/>
      <c r="AL78" s="582"/>
      <c r="AM78" s="582"/>
      <c r="AN78" s="582"/>
      <c r="AO78" s="582"/>
      <c r="AP78" s="582"/>
      <c r="AQ78" s="582"/>
      <c r="AR78" s="582"/>
      <c r="AS78" s="582"/>
      <c r="AT78" s="593">
        <f t="shared" si="1"/>
        <v>4081048.42</v>
      </c>
      <c r="AU78" s="36"/>
      <c r="AV78" s="36"/>
      <c r="AW78" s="36"/>
      <c r="AX78" s="36"/>
      <c r="AY78" s="36"/>
      <c r="AZ78" s="36"/>
      <c r="BA78" s="36"/>
      <c r="BB78" s="36"/>
      <c r="BC78" s="36"/>
      <c r="BD78" s="36"/>
      <c r="BE78" s="36"/>
      <c r="BF78" s="36"/>
      <c r="BG78" s="36"/>
      <c r="BH78" s="36"/>
      <c r="BI78" s="36"/>
      <c r="BJ78" s="36"/>
      <c r="BK78" s="57"/>
      <c r="BL78" s="26" t="s">
        <v>85</v>
      </c>
      <c r="BM78" s="42"/>
      <c r="BO78" s="606"/>
    </row>
    <row r="79" spans="1:67" s="38" customFormat="1" ht="54" customHeight="1">
      <c r="A79" s="28" t="s">
        <v>6</v>
      </c>
      <c r="B79" s="26" t="s">
        <v>43</v>
      </c>
      <c r="C79" s="28" t="s">
        <v>11</v>
      </c>
      <c r="D79" s="34">
        <v>19</v>
      </c>
      <c r="E79" s="35" t="s">
        <v>19</v>
      </c>
      <c r="F79" s="34">
        <v>1905</v>
      </c>
      <c r="G79" s="28" t="s">
        <v>44</v>
      </c>
      <c r="H79" s="27">
        <v>1905021</v>
      </c>
      <c r="I79" s="28" t="s">
        <v>45</v>
      </c>
      <c r="J79" s="27">
        <v>190502100</v>
      </c>
      <c r="K79" s="636"/>
      <c r="L79" s="636"/>
      <c r="M79" s="27" t="s">
        <v>197</v>
      </c>
      <c r="N79" s="27"/>
      <c r="O79" s="37"/>
      <c r="P79" s="74">
        <f t="shared" si="6"/>
        <v>7073913.3899999997</v>
      </c>
      <c r="Q79" s="71" t="s">
        <v>1231</v>
      </c>
      <c r="R79" s="1">
        <v>5</v>
      </c>
      <c r="S79" s="1" t="s">
        <v>118</v>
      </c>
      <c r="T79" s="27" t="s">
        <v>117</v>
      </c>
      <c r="U79" s="27" t="s">
        <v>119</v>
      </c>
      <c r="V79" s="28"/>
      <c r="W79" s="28"/>
      <c r="X79" s="28"/>
      <c r="Y79" s="28"/>
      <c r="Z79" s="1">
        <v>0</v>
      </c>
      <c r="AA79" s="1">
        <v>1</v>
      </c>
      <c r="AB79" s="1">
        <v>2</v>
      </c>
      <c r="AC79" s="1">
        <v>2</v>
      </c>
      <c r="AD79" s="582"/>
      <c r="AE79" s="582"/>
      <c r="AF79" s="708">
        <v>7073913.3899999997</v>
      </c>
      <c r="AG79" s="582"/>
      <c r="AH79" s="582"/>
      <c r="AI79" s="582"/>
      <c r="AJ79" s="582"/>
      <c r="AK79" s="582"/>
      <c r="AL79" s="582"/>
      <c r="AM79" s="582"/>
      <c r="AN79" s="582"/>
      <c r="AO79" s="582"/>
      <c r="AP79" s="582"/>
      <c r="AQ79" s="582"/>
      <c r="AR79" s="582"/>
      <c r="AS79" s="582"/>
      <c r="AT79" s="593">
        <f t="shared" si="1"/>
        <v>7073913.3899999997</v>
      </c>
      <c r="AU79" s="36"/>
      <c r="AV79" s="36"/>
      <c r="AW79" s="36"/>
      <c r="AX79" s="36"/>
      <c r="AY79" s="36"/>
      <c r="AZ79" s="36"/>
      <c r="BA79" s="36"/>
      <c r="BB79" s="36"/>
      <c r="BC79" s="36"/>
      <c r="BD79" s="36"/>
      <c r="BE79" s="36"/>
      <c r="BF79" s="36"/>
      <c r="BG79" s="36"/>
      <c r="BH79" s="36"/>
      <c r="BI79" s="36"/>
      <c r="BJ79" s="36"/>
      <c r="BK79" s="57"/>
      <c r="BL79" s="26" t="s">
        <v>85</v>
      </c>
      <c r="BM79" s="42"/>
      <c r="BO79" s="606"/>
    </row>
    <row r="80" spans="1:67" s="38" customFormat="1" ht="114.75">
      <c r="A80" s="28" t="s">
        <v>6</v>
      </c>
      <c r="B80" s="26" t="s">
        <v>43</v>
      </c>
      <c r="C80" s="28" t="s">
        <v>11</v>
      </c>
      <c r="D80" s="34">
        <v>19</v>
      </c>
      <c r="E80" s="35" t="s">
        <v>19</v>
      </c>
      <c r="F80" s="34">
        <v>1905</v>
      </c>
      <c r="G80" s="28" t="s">
        <v>44</v>
      </c>
      <c r="H80" s="27">
        <v>1905021</v>
      </c>
      <c r="I80" s="28" t="s">
        <v>45</v>
      </c>
      <c r="J80" s="27">
        <v>190502100</v>
      </c>
      <c r="K80" s="636"/>
      <c r="L80" s="636"/>
      <c r="M80" s="27" t="s">
        <v>197</v>
      </c>
      <c r="N80" s="27"/>
      <c r="O80" s="37"/>
      <c r="P80" s="74">
        <f t="shared" si="6"/>
        <v>8891958.4000000004</v>
      </c>
      <c r="Q80" s="70" t="s">
        <v>1232</v>
      </c>
      <c r="R80" s="1">
        <v>8</v>
      </c>
      <c r="S80" s="1" t="s">
        <v>118</v>
      </c>
      <c r="T80" s="27" t="s">
        <v>117</v>
      </c>
      <c r="U80" s="27" t="s">
        <v>119</v>
      </c>
      <c r="V80" s="28"/>
      <c r="W80" s="28"/>
      <c r="X80" s="28"/>
      <c r="Y80" s="28"/>
      <c r="Z80" s="1">
        <v>0</v>
      </c>
      <c r="AA80" s="1">
        <v>2</v>
      </c>
      <c r="AB80" s="1">
        <v>3</v>
      </c>
      <c r="AC80" s="1">
        <v>3</v>
      </c>
      <c r="AD80" s="582"/>
      <c r="AE80" s="582"/>
      <c r="AF80" s="572">
        <v>8891958.4000000004</v>
      </c>
      <c r="AG80" s="582"/>
      <c r="AH80" s="582"/>
      <c r="AI80" s="582"/>
      <c r="AJ80" s="582"/>
      <c r="AK80" s="582"/>
      <c r="AL80" s="582"/>
      <c r="AM80" s="582"/>
      <c r="AN80" s="582"/>
      <c r="AO80" s="582"/>
      <c r="AP80" s="582"/>
      <c r="AQ80" s="582"/>
      <c r="AR80" s="582"/>
      <c r="AS80" s="582"/>
      <c r="AT80" s="593">
        <f t="shared" si="1"/>
        <v>8891958.4000000004</v>
      </c>
      <c r="AU80" s="36"/>
      <c r="AV80" s="36"/>
      <c r="AW80" s="36"/>
      <c r="AX80" s="36"/>
      <c r="AY80" s="36"/>
      <c r="AZ80" s="36"/>
      <c r="BA80" s="36"/>
      <c r="BB80" s="36"/>
      <c r="BC80" s="36"/>
      <c r="BD80" s="36"/>
      <c r="BE80" s="36"/>
      <c r="BF80" s="36"/>
      <c r="BG80" s="36"/>
      <c r="BH80" s="36"/>
      <c r="BI80" s="36"/>
      <c r="BJ80" s="36"/>
      <c r="BK80" s="57"/>
      <c r="BL80" s="26" t="s">
        <v>85</v>
      </c>
      <c r="BM80" s="42"/>
      <c r="BO80" s="606"/>
    </row>
    <row r="81" spans="1:67" s="38" customFormat="1" ht="89.25">
      <c r="A81" s="28" t="s">
        <v>6</v>
      </c>
      <c r="B81" s="26" t="s">
        <v>46</v>
      </c>
      <c r="C81" s="28" t="s">
        <v>11</v>
      </c>
      <c r="D81" s="34">
        <v>19</v>
      </c>
      <c r="E81" s="35" t="s">
        <v>19</v>
      </c>
      <c r="F81" s="34">
        <v>1905</v>
      </c>
      <c r="G81" s="28" t="s">
        <v>47</v>
      </c>
      <c r="H81" s="27">
        <v>1905026</v>
      </c>
      <c r="I81" s="28" t="s">
        <v>48</v>
      </c>
      <c r="J81" s="27">
        <v>190502600</v>
      </c>
      <c r="K81" s="635">
        <v>4</v>
      </c>
      <c r="L81" s="636">
        <v>4</v>
      </c>
      <c r="M81" s="27" t="s">
        <v>220</v>
      </c>
      <c r="N81" s="27"/>
      <c r="O81" s="37"/>
      <c r="P81" s="74">
        <f t="shared" si="6"/>
        <v>13182198.4</v>
      </c>
      <c r="Q81" s="51" t="s">
        <v>1233</v>
      </c>
      <c r="R81" s="1">
        <v>12</v>
      </c>
      <c r="S81" s="1" t="s">
        <v>118</v>
      </c>
      <c r="T81" s="27" t="s">
        <v>117</v>
      </c>
      <c r="U81" s="27" t="s">
        <v>119</v>
      </c>
      <c r="V81" s="28"/>
      <c r="W81" s="28"/>
      <c r="X81" s="28"/>
      <c r="Y81" s="28"/>
      <c r="Z81" s="1">
        <v>0</v>
      </c>
      <c r="AA81" s="1">
        <v>4</v>
      </c>
      <c r="AB81" s="1">
        <v>4</v>
      </c>
      <c r="AC81" s="1">
        <v>4</v>
      </c>
      <c r="AD81" s="582"/>
      <c r="AE81" s="582"/>
      <c r="AF81" s="567">
        <v>13182198.4</v>
      </c>
      <c r="AG81" s="582"/>
      <c r="AH81" s="582"/>
      <c r="AI81" s="582"/>
      <c r="AJ81" s="582"/>
      <c r="AK81" s="582"/>
      <c r="AL81" s="582"/>
      <c r="AM81" s="582"/>
      <c r="AN81" s="582"/>
      <c r="AO81" s="582"/>
      <c r="AP81" s="582"/>
      <c r="AQ81" s="582"/>
      <c r="AR81" s="582"/>
      <c r="AS81" s="582"/>
      <c r="AT81" s="593">
        <f t="shared" ref="AT81:AT108" si="7">AS81+AR81+AQ81+AP81+AO81+AN81+AM81+AL81+AK81+AJ81+AI81+AH81+AG81+AF81+AE81+AD81</f>
        <v>13182198.4</v>
      </c>
      <c r="AU81" s="36"/>
      <c r="AV81" s="36"/>
      <c r="AW81" s="36"/>
      <c r="AX81" s="36"/>
      <c r="AY81" s="36"/>
      <c r="AZ81" s="36"/>
      <c r="BA81" s="36"/>
      <c r="BB81" s="36"/>
      <c r="BC81" s="36"/>
      <c r="BD81" s="36"/>
      <c r="BE81" s="36"/>
      <c r="BF81" s="36"/>
      <c r="BG81" s="36"/>
      <c r="BH81" s="36"/>
      <c r="BI81" s="36"/>
      <c r="BJ81" s="36"/>
      <c r="BK81" s="57"/>
      <c r="BL81" s="26" t="s">
        <v>85</v>
      </c>
      <c r="BM81" s="42"/>
      <c r="BO81" s="606"/>
    </row>
    <row r="82" spans="1:67" s="38" customFormat="1" ht="102">
      <c r="A82" s="28" t="s">
        <v>6</v>
      </c>
      <c r="B82" s="26" t="s">
        <v>46</v>
      </c>
      <c r="C82" s="28" t="s">
        <v>11</v>
      </c>
      <c r="D82" s="34">
        <v>19</v>
      </c>
      <c r="E82" s="35" t="s">
        <v>19</v>
      </c>
      <c r="F82" s="34">
        <v>1905</v>
      </c>
      <c r="G82" s="28" t="s">
        <v>47</v>
      </c>
      <c r="H82" s="27">
        <v>1905026</v>
      </c>
      <c r="I82" s="28" t="s">
        <v>48</v>
      </c>
      <c r="J82" s="27">
        <v>190502600</v>
      </c>
      <c r="K82" s="636"/>
      <c r="L82" s="636"/>
      <c r="M82" s="27" t="s">
        <v>220</v>
      </c>
      <c r="N82" s="27"/>
      <c r="O82" s="37"/>
      <c r="P82" s="69">
        <v>8869013.0800000001</v>
      </c>
      <c r="Q82" s="51" t="s">
        <v>200</v>
      </c>
      <c r="R82" s="1">
        <v>12</v>
      </c>
      <c r="S82" s="1" t="s">
        <v>118</v>
      </c>
      <c r="T82" s="27" t="s">
        <v>117</v>
      </c>
      <c r="U82" s="27" t="s">
        <v>119</v>
      </c>
      <c r="V82" s="28"/>
      <c r="W82" s="28"/>
      <c r="X82" s="28"/>
      <c r="Y82" s="28"/>
      <c r="Z82" s="1">
        <v>0</v>
      </c>
      <c r="AA82" s="1">
        <v>4</v>
      </c>
      <c r="AB82" s="1">
        <v>4</v>
      </c>
      <c r="AC82" s="1">
        <v>4</v>
      </c>
      <c r="AD82" s="582"/>
      <c r="AE82" s="582"/>
      <c r="AF82" s="567">
        <v>8869013.0800000001</v>
      </c>
      <c r="AG82" s="582"/>
      <c r="AH82" s="582"/>
      <c r="AI82" s="582"/>
      <c r="AJ82" s="582"/>
      <c r="AK82" s="582"/>
      <c r="AL82" s="582"/>
      <c r="AM82" s="582"/>
      <c r="AN82" s="582"/>
      <c r="AO82" s="582"/>
      <c r="AP82" s="582"/>
      <c r="AQ82" s="582"/>
      <c r="AR82" s="582"/>
      <c r="AS82" s="582"/>
      <c r="AT82" s="593">
        <f t="shared" si="7"/>
        <v>8869013.0800000001</v>
      </c>
      <c r="AU82" s="36"/>
      <c r="AV82" s="36"/>
      <c r="AW82" s="36"/>
      <c r="AX82" s="36"/>
      <c r="AY82" s="36"/>
      <c r="AZ82" s="36"/>
      <c r="BA82" s="36"/>
      <c r="BB82" s="36"/>
      <c r="BC82" s="36"/>
      <c r="BD82" s="36"/>
      <c r="BE82" s="36"/>
      <c r="BF82" s="36"/>
      <c r="BG82" s="36"/>
      <c r="BH82" s="36"/>
      <c r="BI82" s="36"/>
      <c r="BJ82" s="36"/>
      <c r="BK82" s="57"/>
      <c r="BL82" s="26" t="s">
        <v>85</v>
      </c>
      <c r="BM82" s="42"/>
      <c r="BO82" s="606"/>
    </row>
    <row r="83" spans="1:67" s="38" customFormat="1" ht="89.25">
      <c r="A83" s="28" t="s">
        <v>6</v>
      </c>
      <c r="B83" s="26" t="s">
        <v>46</v>
      </c>
      <c r="C83" s="28" t="s">
        <v>11</v>
      </c>
      <c r="D83" s="34">
        <v>19</v>
      </c>
      <c r="E83" s="35" t="s">
        <v>19</v>
      </c>
      <c r="F83" s="34">
        <v>1905</v>
      </c>
      <c r="G83" s="28" t="s">
        <v>47</v>
      </c>
      <c r="H83" s="27">
        <v>1905026</v>
      </c>
      <c r="I83" s="28" t="s">
        <v>48</v>
      </c>
      <c r="J83" s="27">
        <v>190502600</v>
      </c>
      <c r="K83" s="636"/>
      <c r="L83" s="636"/>
      <c r="M83" s="27" t="s">
        <v>220</v>
      </c>
      <c r="N83" s="27"/>
      <c r="O83" s="37"/>
      <c r="P83" s="69">
        <v>4639813.08</v>
      </c>
      <c r="Q83" s="51" t="s">
        <v>1234</v>
      </c>
      <c r="R83" s="1">
        <v>100</v>
      </c>
      <c r="S83" s="1" t="s">
        <v>128</v>
      </c>
      <c r="T83" s="27" t="s">
        <v>117</v>
      </c>
      <c r="U83" s="27" t="s">
        <v>119</v>
      </c>
      <c r="V83" s="28"/>
      <c r="W83" s="28"/>
      <c r="X83" s="28"/>
      <c r="Y83" s="28"/>
      <c r="Z83" s="1">
        <v>25</v>
      </c>
      <c r="AA83" s="1">
        <v>25</v>
      </c>
      <c r="AB83" s="1">
        <v>25</v>
      </c>
      <c r="AC83" s="1">
        <v>25</v>
      </c>
      <c r="AD83" s="582"/>
      <c r="AE83" s="582"/>
      <c r="AF83" s="567">
        <v>4639813.08</v>
      </c>
      <c r="AG83" s="582"/>
      <c r="AH83" s="582"/>
      <c r="AI83" s="582"/>
      <c r="AJ83" s="582"/>
      <c r="AK83" s="582"/>
      <c r="AL83" s="582"/>
      <c r="AM83" s="582"/>
      <c r="AN83" s="582"/>
      <c r="AO83" s="582"/>
      <c r="AP83" s="582"/>
      <c r="AQ83" s="582"/>
      <c r="AR83" s="582"/>
      <c r="AS83" s="582"/>
      <c r="AT83" s="593">
        <f t="shared" si="7"/>
        <v>4639813.08</v>
      </c>
      <c r="AU83" s="36"/>
      <c r="AV83" s="36"/>
      <c r="AW83" s="36"/>
      <c r="AX83" s="36"/>
      <c r="AY83" s="36"/>
      <c r="AZ83" s="36"/>
      <c r="BA83" s="36"/>
      <c r="BB83" s="36"/>
      <c r="BC83" s="36"/>
      <c r="BD83" s="36"/>
      <c r="BE83" s="36"/>
      <c r="BF83" s="36"/>
      <c r="BG83" s="36"/>
      <c r="BH83" s="36"/>
      <c r="BI83" s="36"/>
      <c r="BJ83" s="36"/>
      <c r="BK83" s="57"/>
      <c r="BL83" s="26" t="s">
        <v>85</v>
      </c>
      <c r="BM83" s="42"/>
      <c r="BO83" s="606"/>
    </row>
    <row r="84" spans="1:67" s="38" customFormat="1" ht="119.25" customHeight="1">
      <c r="A84" s="28" t="s">
        <v>6</v>
      </c>
      <c r="B84" s="26" t="s">
        <v>46</v>
      </c>
      <c r="C84" s="28" t="s">
        <v>11</v>
      </c>
      <c r="D84" s="34">
        <v>19</v>
      </c>
      <c r="E84" s="35" t="s">
        <v>19</v>
      </c>
      <c r="F84" s="34">
        <v>1905</v>
      </c>
      <c r="G84" s="28" t="s">
        <v>47</v>
      </c>
      <c r="H84" s="27">
        <v>1905026</v>
      </c>
      <c r="I84" s="28" t="s">
        <v>48</v>
      </c>
      <c r="J84" s="27">
        <v>190502600</v>
      </c>
      <c r="K84" s="636"/>
      <c r="L84" s="636"/>
      <c r="M84" s="27" t="s">
        <v>220</v>
      </c>
      <c r="N84" s="27"/>
      <c r="O84" s="1"/>
      <c r="P84" s="69">
        <v>26471243.199999999</v>
      </c>
      <c r="Q84" s="51" t="s">
        <v>202</v>
      </c>
      <c r="R84" s="1">
        <v>4</v>
      </c>
      <c r="S84" s="1" t="s">
        <v>118</v>
      </c>
      <c r="T84" s="27" t="s">
        <v>117</v>
      </c>
      <c r="U84" s="27" t="s">
        <v>119</v>
      </c>
      <c r="V84" s="28"/>
      <c r="W84" s="28"/>
      <c r="X84" s="28"/>
      <c r="Y84" s="28"/>
      <c r="Z84" s="1">
        <v>0</v>
      </c>
      <c r="AA84" s="1">
        <v>1</v>
      </c>
      <c r="AB84" s="1">
        <v>2</v>
      </c>
      <c r="AC84" s="1">
        <v>1</v>
      </c>
      <c r="AD84" s="582"/>
      <c r="AE84" s="582"/>
      <c r="AF84" s="567">
        <v>26471243.199999999</v>
      </c>
      <c r="AG84" s="582"/>
      <c r="AH84" s="582"/>
      <c r="AI84" s="582"/>
      <c r="AJ84" s="582"/>
      <c r="AK84" s="582"/>
      <c r="AL84" s="582"/>
      <c r="AM84" s="582"/>
      <c r="AN84" s="582"/>
      <c r="AO84" s="582"/>
      <c r="AP84" s="582"/>
      <c r="AQ84" s="582"/>
      <c r="AR84" s="582"/>
      <c r="AS84" s="582"/>
      <c r="AT84" s="593">
        <f t="shared" si="7"/>
        <v>26471243.199999999</v>
      </c>
      <c r="AU84" s="36"/>
      <c r="AV84" s="36"/>
      <c r="AW84" s="36"/>
      <c r="AX84" s="36"/>
      <c r="AY84" s="36"/>
      <c r="AZ84" s="36"/>
      <c r="BA84" s="36"/>
      <c r="BB84" s="36"/>
      <c r="BC84" s="36"/>
      <c r="BD84" s="36"/>
      <c r="BE84" s="36"/>
      <c r="BF84" s="36"/>
      <c r="BG84" s="36"/>
      <c r="BH84" s="36"/>
      <c r="BI84" s="36"/>
      <c r="BJ84" s="36"/>
      <c r="BK84" s="57"/>
      <c r="BL84" s="26" t="s">
        <v>85</v>
      </c>
      <c r="BM84" s="42"/>
      <c r="BO84" s="606"/>
    </row>
    <row r="85" spans="1:67" s="38" customFormat="1" ht="102">
      <c r="A85" s="28" t="s">
        <v>6</v>
      </c>
      <c r="B85" s="26" t="s">
        <v>46</v>
      </c>
      <c r="C85" s="28" t="s">
        <v>11</v>
      </c>
      <c r="D85" s="34">
        <v>19</v>
      </c>
      <c r="E85" s="35" t="s">
        <v>19</v>
      </c>
      <c r="F85" s="34">
        <v>1905</v>
      </c>
      <c r="G85" s="28" t="s">
        <v>47</v>
      </c>
      <c r="H85" s="27">
        <v>1905026</v>
      </c>
      <c r="I85" s="28" t="s">
        <v>48</v>
      </c>
      <c r="J85" s="27">
        <v>190502600</v>
      </c>
      <c r="K85" s="636"/>
      <c r="L85" s="636"/>
      <c r="M85" s="27" t="s">
        <v>220</v>
      </c>
      <c r="N85" s="27"/>
      <c r="O85" s="37"/>
      <c r="P85" s="69">
        <v>5193563.13</v>
      </c>
      <c r="Q85" s="51" t="s">
        <v>203</v>
      </c>
      <c r="R85" s="1">
        <v>3</v>
      </c>
      <c r="S85" s="1" t="s">
        <v>118</v>
      </c>
      <c r="T85" s="27" t="s">
        <v>117</v>
      </c>
      <c r="U85" s="27" t="s">
        <v>119</v>
      </c>
      <c r="V85" s="28"/>
      <c r="W85" s="28"/>
      <c r="X85" s="28"/>
      <c r="Y85" s="28"/>
      <c r="Z85" s="1">
        <v>0</v>
      </c>
      <c r="AA85" s="1">
        <v>1</v>
      </c>
      <c r="AB85" s="1">
        <v>1</v>
      </c>
      <c r="AC85" s="1">
        <v>1</v>
      </c>
      <c r="AD85" s="582"/>
      <c r="AE85" s="582"/>
      <c r="AF85" s="567">
        <v>5193563.1399999997</v>
      </c>
      <c r="AG85" s="582"/>
      <c r="AH85" s="582"/>
      <c r="AI85" s="582"/>
      <c r="AJ85" s="582"/>
      <c r="AK85" s="582"/>
      <c r="AL85" s="582"/>
      <c r="AM85" s="582"/>
      <c r="AN85" s="582"/>
      <c r="AO85" s="582"/>
      <c r="AP85" s="582"/>
      <c r="AQ85" s="582"/>
      <c r="AR85" s="582"/>
      <c r="AS85" s="582"/>
      <c r="AT85" s="593">
        <f t="shared" si="7"/>
        <v>5193563.1399999997</v>
      </c>
      <c r="AU85" s="36"/>
      <c r="AV85" s="36"/>
      <c r="AW85" s="36"/>
      <c r="AX85" s="36"/>
      <c r="AY85" s="36"/>
      <c r="AZ85" s="36"/>
      <c r="BA85" s="36"/>
      <c r="BB85" s="36"/>
      <c r="BC85" s="36"/>
      <c r="BD85" s="36"/>
      <c r="BE85" s="36"/>
      <c r="BF85" s="36"/>
      <c r="BG85" s="36"/>
      <c r="BH85" s="36"/>
      <c r="BI85" s="36"/>
      <c r="BJ85" s="36"/>
      <c r="BK85" s="57"/>
      <c r="BL85" s="26" t="s">
        <v>85</v>
      </c>
      <c r="BM85" s="42"/>
      <c r="BO85" s="606"/>
    </row>
    <row r="86" spans="1:67" s="38" customFormat="1" ht="89.25">
      <c r="A86" s="28" t="s">
        <v>6</v>
      </c>
      <c r="B86" s="26" t="s">
        <v>46</v>
      </c>
      <c r="C86" s="28" t="s">
        <v>11</v>
      </c>
      <c r="D86" s="34">
        <v>19</v>
      </c>
      <c r="E86" s="35" t="s">
        <v>19</v>
      </c>
      <c r="F86" s="34">
        <v>1905</v>
      </c>
      <c r="G86" s="28" t="s">
        <v>47</v>
      </c>
      <c r="H86" s="27">
        <v>1905026</v>
      </c>
      <c r="I86" s="28" t="s">
        <v>48</v>
      </c>
      <c r="J86" s="27">
        <v>190502600</v>
      </c>
      <c r="K86" s="636"/>
      <c r="L86" s="636"/>
      <c r="M86" s="27" t="s">
        <v>220</v>
      </c>
      <c r="N86" s="27"/>
      <c r="O86" s="37"/>
      <c r="P86" s="69">
        <v>25418800</v>
      </c>
      <c r="Q86" s="51" t="s">
        <v>204</v>
      </c>
      <c r="R86" s="1">
        <v>8</v>
      </c>
      <c r="S86" s="1" t="s">
        <v>118</v>
      </c>
      <c r="T86" s="27" t="s">
        <v>117</v>
      </c>
      <c r="U86" s="27" t="s">
        <v>119</v>
      </c>
      <c r="V86" s="28"/>
      <c r="W86" s="28"/>
      <c r="X86" s="28"/>
      <c r="Y86" s="28"/>
      <c r="Z86" s="1">
        <v>0</v>
      </c>
      <c r="AA86" s="1">
        <v>2</v>
      </c>
      <c r="AB86" s="1">
        <v>3</v>
      </c>
      <c r="AC86" s="1">
        <v>3</v>
      </c>
      <c r="AD86" s="582"/>
      <c r="AE86" s="582"/>
      <c r="AF86" s="567">
        <v>25418800</v>
      </c>
      <c r="AG86" s="582"/>
      <c r="AH86" s="582"/>
      <c r="AI86" s="582"/>
      <c r="AJ86" s="582"/>
      <c r="AK86" s="582"/>
      <c r="AL86" s="582"/>
      <c r="AM86" s="582"/>
      <c r="AN86" s="582"/>
      <c r="AO86" s="582"/>
      <c r="AP86" s="582"/>
      <c r="AQ86" s="582"/>
      <c r="AR86" s="582"/>
      <c r="AS86" s="582"/>
      <c r="AT86" s="593">
        <f t="shared" si="7"/>
        <v>25418800</v>
      </c>
      <c r="AU86" s="36"/>
      <c r="AV86" s="36"/>
      <c r="AW86" s="36"/>
      <c r="AX86" s="36"/>
      <c r="AY86" s="36"/>
      <c r="AZ86" s="36"/>
      <c r="BA86" s="36"/>
      <c r="BB86" s="36"/>
      <c r="BC86" s="36"/>
      <c r="BD86" s="36"/>
      <c r="BE86" s="36"/>
      <c r="BF86" s="36"/>
      <c r="BG86" s="36"/>
      <c r="BH86" s="36"/>
      <c r="BI86" s="36"/>
      <c r="BJ86" s="36"/>
      <c r="BK86" s="57"/>
      <c r="BL86" s="26" t="s">
        <v>85</v>
      </c>
      <c r="BM86" s="42"/>
      <c r="BO86" s="606"/>
    </row>
    <row r="87" spans="1:67" s="38" customFormat="1" ht="89.25">
      <c r="A87" s="28" t="s">
        <v>6</v>
      </c>
      <c r="B87" s="26" t="s">
        <v>46</v>
      </c>
      <c r="C87" s="28" t="s">
        <v>11</v>
      </c>
      <c r="D87" s="34">
        <v>19</v>
      </c>
      <c r="E87" s="35" t="s">
        <v>19</v>
      </c>
      <c r="F87" s="34">
        <v>1905</v>
      </c>
      <c r="G87" s="28" t="s">
        <v>47</v>
      </c>
      <c r="H87" s="27">
        <v>1905026</v>
      </c>
      <c r="I87" s="28" t="s">
        <v>48</v>
      </c>
      <c r="J87" s="27">
        <v>190502600</v>
      </c>
      <c r="K87" s="636"/>
      <c r="L87" s="636"/>
      <c r="M87" s="27" t="s">
        <v>220</v>
      </c>
      <c r="N87" s="27"/>
      <c r="O87" s="37"/>
      <c r="P87" s="69"/>
      <c r="Q87" s="51" t="s">
        <v>1235</v>
      </c>
      <c r="R87" s="1">
        <v>15</v>
      </c>
      <c r="S87" s="1" t="s">
        <v>118</v>
      </c>
      <c r="T87" s="27" t="s">
        <v>117</v>
      </c>
      <c r="U87" s="27" t="s">
        <v>119</v>
      </c>
      <c r="V87" s="28"/>
      <c r="W87" s="28"/>
      <c r="X87" s="28"/>
      <c r="Y87" s="28"/>
      <c r="Z87" s="1">
        <v>0</v>
      </c>
      <c r="AA87" s="1">
        <v>5</v>
      </c>
      <c r="AB87" s="1">
        <v>5</v>
      </c>
      <c r="AC87" s="1">
        <v>5</v>
      </c>
      <c r="AD87" s="582"/>
      <c r="AE87" s="582"/>
      <c r="AF87" s="588">
        <v>15362198.4</v>
      </c>
      <c r="AG87" s="582"/>
      <c r="AH87" s="582"/>
      <c r="AI87" s="582"/>
      <c r="AJ87" s="582"/>
      <c r="AK87" s="582"/>
      <c r="AL87" s="582"/>
      <c r="AM87" s="582"/>
      <c r="AN87" s="582"/>
      <c r="AO87" s="582"/>
      <c r="AP87" s="582"/>
      <c r="AQ87" s="582"/>
      <c r="AR87" s="582"/>
      <c r="AS87" s="582"/>
      <c r="AT87" s="593">
        <f t="shared" si="7"/>
        <v>15362198.4</v>
      </c>
      <c r="AU87" s="36"/>
      <c r="AV87" s="36"/>
      <c r="AW87" s="36"/>
      <c r="AX87" s="36"/>
      <c r="AY87" s="36"/>
      <c r="AZ87" s="36"/>
      <c r="BA87" s="36"/>
      <c r="BB87" s="36"/>
      <c r="BC87" s="36"/>
      <c r="BD87" s="36"/>
      <c r="BE87" s="36"/>
      <c r="BF87" s="36"/>
      <c r="BG87" s="36"/>
      <c r="BH87" s="36"/>
      <c r="BI87" s="36"/>
      <c r="BJ87" s="36"/>
      <c r="BK87" s="57"/>
      <c r="BL87" s="26" t="s">
        <v>85</v>
      </c>
      <c r="BM87" s="42"/>
      <c r="BO87" s="606"/>
    </row>
    <row r="88" spans="1:67" s="38" customFormat="1" ht="102" customHeight="1">
      <c r="A88" s="28" t="s">
        <v>6</v>
      </c>
      <c r="B88" s="26" t="s">
        <v>46</v>
      </c>
      <c r="C88" s="28" t="s">
        <v>11</v>
      </c>
      <c r="D88" s="34">
        <v>19</v>
      </c>
      <c r="E88" s="35" t="s">
        <v>19</v>
      </c>
      <c r="F88" s="34">
        <v>1905</v>
      </c>
      <c r="G88" s="28" t="s">
        <v>47</v>
      </c>
      <c r="H88" s="27">
        <v>1905026</v>
      </c>
      <c r="I88" s="28" t="s">
        <v>48</v>
      </c>
      <c r="J88" s="27">
        <v>190502600</v>
      </c>
      <c r="K88" s="636"/>
      <c r="L88" s="636"/>
      <c r="M88" s="27" t="s">
        <v>220</v>
      </c>
      <c r="N88" s="27"/>
      <c r="O88" s="37"/>
      <c r="P88" s="69">
        <v>15362198.4</v>
      </c>
      <c r="Q88" s="51" t="s">
        <v>1236</v>
      </c>
      <c r="R88" s="1">
        <v>10</v>
      </c>
      <c r="S88" s="1" t="s">
        <v>118</v>
      </c>
      <c r="T88" s="27" t="s">
        <v>117</v>
      </c>
      <c r="U88" s="27" t="s">
        <v>119</v>
      </c>
      <c r="V88" s="28"/>
      <c r="W88" s="28"/>
      <c r="X88" s="28"/>
      <c r="Y88" s="28"/>
      <c r="Z88" s="1">
        <v>0</v>
      </c>
      <c r="AA88" s="1">
        <v>0</v>
      </c>
      <c r="AB88" s="1">
        <v>5</v>
      </c>
      <c r="AC88" s="1">
        <v>5</v>
      </c>
      <c r="AD88" s="582"/>
      <c r="AE88" s="582"/>
      <c r="AF88" s="588">
        <v>11514365.158399999</v>
      </c>
      <c r="AG88" s="582"/>
      <c r="AH88" s="582"/>
      <c r="AI88" s="582"/>
      <c r="AJ88" s="582"/>
      <c r="AK88" s="582"/>
      <c r="AL88" s="582"/>
      <c r="AM88" s="582"/>
      <c r="AN88" s="582"/>
      <c r="AO88" s="582"/>
      <c r="AP88" s="582"/>
      <c r="AQ88" s="582"/>
      <c r="AR88" s="582"/>
      <c r="AS88" s="582"/>
      <c r="AT88" s="593">
        <f t="shared" si="7"/>
        <v>11514365.158399999</v>
      </c>
      <c r="AU88" s="36"/>
      <c r="AV88" s="36"/>
      <c r="AW88" s="36"/>
      <c r="AX88" s="36"/>
      <c r="AY88" s="36"/>
      <c r="AZ88" s="36"/>
      <c r="BA88" s="36"/>
      <c r="BB88" s="36"/>
      <c r="BC88" s="36"/>
      <c r="BD88" s="36"/>
      <c r="BE88" s="36"/>
      <c r="BF88" s="36"/>
      <c r="BG88" s="36"/>
      <c r="BH88" s="36"/>
      <c r="BI88" s="36"/>
      <c r="BJ88" s="36"/>
      <c r="BK88" s="57"/>
      <c r="BL88" s="26" t="s">
        <v>85</v>
      </c>
      <c r="BM88" s="42"/>
      <c r="BO88" s="606"/>
    </row>
    <row r="89" spans="1:67" s="38" customFormat="1" ht="89.25">
      <c r="A89" s="28" t="s">
        <v>6</v>
      </c>
      <c r="B89" s="26" t="s">
        <v>46</v>
      </c>
      <c r="C89" s="28" t="s">
        <v>11</v>
      </c>
      <c r="D89" s="34">
        <v>19</v>
      </c>
      <c r="E89" s="35" t="s">
        <v>19</v>
      </c>
      <c r="F89" s="34">
        <v>1905</v>
      </c>
      <c r="G89" s="28" t="s">
        <v>47</v>
      </c>
      <c r="H89" s="27">
        <v>1905026</v>
      </c>
      <c r="I89" s="28" t="s">
        <v>48</v>
      </c>
      <c r="J89" s="27">
        <v>190502600</v>
      </c>
      <c r="K89" s="636"/>
      <c r="L89" s="636"/>
      <c r="M89" s="27" t="s">
        <v>220</v>
      </c>
      <c r="N89" s="27"/>
      <c r="O89" s="37"/>
      <c r="P89" s="69">
        <v>0</v>
      </c>
      <c r="Q89" s="51" t="s">
        <v>207</v>
      </c>
      <c r="R89" s="1">
        <v>10</v>
      </c>
      <c r="S89" s="1" t="s">
        <v>118</v>
      </c>
      <c r="T89" s="27" t="s">
        <v>117</v>
      </c>
      <c r="U89" s="27" t="s">
        <v>119</v>
      </c>
      <c r="V89" s="28"/>
      <c r="W89" s="28"/>
      <c r="X89" s="28"/>
      <c r="Y89" s="28"/>
      <c r="Z89" s="1">
        <v>0</v>
      </c>
      <c r="AA89" s="1">
        <v>3</v>
      </c>
      <c r="AB89" s="1">
        <v>3</v>
      </c>
      <c r="AC89" s="1">
        <v>4</v>
      </c>
      <c r="AD89" s="582"/>
      <c r="AE89" s="582"/>
      <c r="AF89" s="588">
        <v>11514365.158399999</v>
      </c>
      <c r="AG89" s="582"/>
      <c r="AH89" s="582"/>
      <c r="AI89" s="582"/>
      <c r="AJ89" s="582"/>
      <c r="AK89" s="582"/>
      <c r="AL89" s="582"/>
      <c r="AM89" s="582"/>
      <c r="AN89" s="582"/>
      <c r="AO89" s="582"/>
      <c r="AP89" s="582"/>
      <c r="AQ89" s="582"/>
      <c r="AR89" s="582"/>
      <c r="AS89" s="582"/>
      <c r="AT89" s="593">
        <f t="shared" si="7"/>
        <v>11514365.158399999</v>
      </c>
      <c r="AU89" s="36"/>
      <c r="AV89" s="36"/>
      <c r="AW89" s="36"/>
      <c r="AX89" s="36"/>
      <c r="AY89" s="36"/>
      <c r="AZ89" s="36"/>
      <c r="BA89" s="36"/>
      <c r="BB89" s="36"/>
      <c r="BC89" s="36"/>
      <c r="BD89" s="36"/>
      <c r="BE89" s="36"/>
      <c r="BF89" s="36"/>
      <c r="BG89" s="36"/>
      <c r="BH89" s="36"/>
      <c r="BI89" s="36"/>
      <c r="BJ89" s="36"/>
      <c r="BK89" s="57"/>
      <c r="BL89" s="26" t="s">
        <v>85</v>
      </c>
      <c r="BM89" s="42"/>
      <c r="BO89" s="606"/>
    </row>
    <row r="90" spans="1:67" s="38" customFormat="1" ht="89.25">
      <c r="A90" s="28" t="s">
        <v>6</v>
      </c>
      <c r="B90" s="26" t="s">
        <v>46</v>
      </c>
      <c r="C90" s="28" t="s">
        <v>11</v>
      </c>
      <c r="D90" s="34">
        <v>19</v>
      </c>
      <c r="E90" s="35" t="s">
        <v>19</v>
      </c>
      <c r="F90" s="34">
        <v>1905</v>
      </c>
      <c r="G90" s="28" t="s">
        <v>47</v>
      </c>
      <c r="H90" s="27">
        <v>1905026</v>
      </c>
      <c r="I90" s="28" t="s">
        <v>48</v>
      </c>
      <c r="J90" s="27">
        <v>190502600</v>
      </c>
      <c r="K90" s="636"/>
      <c r="L90" s="636"/>
      <c r="M90" s="27" t="s">
        <v>220</v>
      </c>
      <c r="N90" s="27"/>
      <c r="O90" s="37"/>
      <c r="P90" s="69">
        <v>0</v>
      </c>
      <c r="Q90" s="51" t="s">
        <v>208</v>
      </c>
      <c r="R90" s="1">
        <v>4</v>
      </c>
      <c r="S90" s="1" t="s">
        <v>118</v>
      </c>
      <c r="T90" s="27" t="s">
        <v>117</v>
      </c>
      <c r="U90" s="27" t="s">
        <v>119</v>
      </c>
      <c r="V90" s="28"/>
      <c r="W90" s="28"/>
      <c r="X90" s="28"/>
      <c r="Y90" s="28"/>
      <c r="Z90" s="1">
        <v>0</v>
      </c>
      <c r="AA90" s="1">
        <v>1</v>
      </c>
      <c r="AB90" s="1">
        <v>1</v>
      </c>
      <c r="AC90" s="1">
        <v>2</v>
      </c>
      <c r="AD90" s="582"/>
      <c r="AE90" s="582"/>
      <c r="AF90" s="588">
        <v>9443365.1583999991</v>
      </c>
      <c r="AG90" s="582"/>
      <c r="AH90" s="582"/>
      <c r="AI90" s="582"/>
      <c r="AJ90" s="582"/>
      <c r="AK90" s="582"/>
      <c r="AL90" s="582"/>
      <c r="AM90" s="582"/>
      <c r="AN90" s="582"/>
      <c r="AO90" s="582"/>
      <c r="AP90" s="582"/>
      <c r="AQ90" s="582"/>
      <c r="AR90" s="582"/>
      <c r="AS90" s="582"/>
      <c r="AT90" s="593">
        <f t="shared" si="7"/>
        <v>9443365.1583999991</v>
      </c>
      <c r="AU90" s="36"/>
      <c r="AV90" s="36"/>
      <c r="AW90" s="36"/>
      <c r="AX90" s="36"/>
      <c r="AY90" s="36"/>
      <c r="AZ90" s="36"/>
      <c r="BA90" s="36"/>
      <c r="BB90" s="36"/>
      <c r="BC90" s="36"/>
      <c r="BD90" s="36"/>
      <c r="BE90" s="36"/>
      <c r="BF90" s="36"/>
      <c r="BG90" s="36"/>
      <c r="BH90" s="36"/>
      <c r="BI90" s="36"/>
      <c r="BJ90" s="36"/>
      <c r="BK90" s="57"/>
      <c r="BL90" s="26" t="s">
        <v>85</v>
      </c>
      <c r="BM90" s="42"/>
      <c r="BO90" s="606"/>
    </row>
    <row r="91" spans="1:67" s="38" customFormat="1" ht="102">
      <c r="A91" s="28" t="s">
        <v>6</v>
      </c>
      <c r="B91" s="26" t="s">
        <v>46</v>
      </c>
      <c r="C91" s="28" t="s">
        <v>11</v>
      </c>
      <c r="D91" s="34">
        <v>19</v>
      </c>
      <c r="E91" s="35" t="s">
        <v>19</v>
      </c>
      <c r="F91" s="34">
        <v>1905</v>
      </c>
      <c r="G91" s="28" t="s">
        <v>47</v>
      </c>
      <c r="H91" s="27">
        <v>1905026</v>
      </c>
      <c r="I91" s="28" t="s">
        <v>48</v>
      </c>
      <c r="J91" s="27">
        <v>190502600</v>
      </c>
      <c r="K91" s="636"/>
      <c r="L91" s="636"/>
      <c r="M91" s="27" t="s">
        <v>220</v>
      </c>
      <c r="N91" s="27"/>
      <c r="O91" s="37"/>
      <c r="P91" s="69">
        <v>0</v>
      </c>
      <c r="Q91" s="51" t="s">
        <v>209</v>
      </c>
      <c r="R91" s="1">
        <v>1</v>
      </c>
      <c r="S91" s="1" t="s">
        <v>118</v>
      </c>
      <c r="T91" s="27" t="s">
        <v>117</v>
      </c>
      <c r="U91" s="27" t="s">
        <v>119</v>
      </c>
      <c r="V91" s="28"/>
      <c r="W91" s="28"/>
      <c r="X91" s="28"/>
      <c r="Y91" s="28"/>
      <c r="Z91" s="1">
        <v>0</v>
      </c>
      <c r="AA91" s="1">
        <v>0</v>
      </c>
      <c r="AB91" s="1">
        <v>0</v>
      </c>
      <c r="AC91" s="1">
        <v>1</v>
      </c>
      <c r="AD91" s="582"/>
      <c r="AE91" s="582"/>
      <c r="AF91" s="588">
        <v>25418800</v>
      </c>
      <c r="AG91" s="582"/>
      <c r="AH91" s="582"/>
      <c r="AI91" s="582"/>
      <c r="AJ91" s="582"/>
      <c r="AK91" s="582"/>
      <c r="AL91" s="582"/>
      <c r="AM91" s="582"/>
      <c r="AN91" s="582"/>
      <c r="AO91" s="582"/>
      <c r="AP91" s="582"/>
      <c r="AQ91" s="582"/>
      <c r="AR91" s="582"/>
      <c r="AS91" s="582"/>
      <c r="AT91" s="593">
        <f t="shared" si="7"/>
        <v>25418800</v>
      </c>
      <c r="AU91" s="36"/>
      <c r="AV91" s="36"/>
      <c r="AW91" s="36"/>
      <c r="AX91" s="36"/>
      <c r="AY91" s="36"/>
      <c r="AZ91" s="36"/>
      <c r="BA91" s="36"/>
      <c r="BB91" s="36"/>
      <c r="BC91" s="36"/>
      <c r="BD91" s="36"/>
      <c r="BE91" s="36"/>
      <c r="BF91" s="36"/>
      <c r="BG91" s="36"/>
      <c r="BH91" s="36"/>
      <c r="BI91" s="36"/>
      <c r="BJ91" s="36"/>
      <c r="BK91" s="57"/>
      <c r="BL91" s="26" t="s">
        <v>85</v>
      </c>
      <c r="BM91" s="42"/>
      <c r="BO91" s="606"/>
    </row>
    <row r="92" spans="1:67" s="38" customFormat="1" ht="127.5" customHeight="1">
      <c r="A92" s="28" t="s">
        <v>6</v>
      </c>
      <c r="B92" s="26" t="s">
        <v>46</v>
      </c>
      <c r="C92" s="28" t="s">
        <v>11</v>
      </c>
      <c r="D92" s="34">
        <v>19</v>
      </c>
      <c r="E92" s="35" t="s">
        <v>19</v>
      </c>
      <c r="F92" s="34">
        <v>1905</v>
      </c>
      <c r="G92" s="28" t="s">
        <v>47</v>
      </c>
      <c r="H92" s="27">
        <v>1905026</v>
      </c>
      <c r="I92" s="28" t="s">
        <v>48</v>
      </c>
      <c r="J92" s="27">
        <v>190502600</v>
      </c>
      <c r="K92" s="636"/>
      <c r="L92" s="636"/>
      <c r="M92" s="27" t="s">
        <v>220</v>
      </c>
      <c r="N92" s="27"/>
      <c r="O92" s="37"/>
      <c r="P92" s="69">
        <v>25418800</v>
      </c>
      <c r="Q92" s="51" t="s">
        <v>1237</v>
      </c>
      <c r="R92" s="1">
        <v>5</v>
      </c>
      <c r="S92" s="1" t="s">
        <v>118</v>
      </c>
      <c r="T92" s="27" t="s">
        <v>117</v>
      </c>
      <c r="U92" s="27" t="s">
        <v>119</v>
      </c>
      <c r="V92" s="28"/>
      <c r="W92" s="28"/>
      <c r="X92" s="28"/>
      <c r="Y92" s="28"/>
      <c r="Z92" s="1">
        <v>0</v>
      </c>
      <c r="AA92" s="1">
        <v>0</v>
      </c>
      <c r="AB92" s="1">
        <v>2</v>
      </c>
      <c r="AC92" s="1">
        <v>3</v>
      </c>
      <c r="AD92" s="582"/>
      <c r="AE92" s="582"/>
      <c r="AF92" s="579">
        <v>4537052.6784999995</v>
      </c>
      <c r="AG92" s="582"/>
      <c r="AH92" s="582"/>
      <c r="AI92" s="582"/>
      <c r="AJ92" s="582"/>
      <c r="AK92" s="582"/>
      <c r="AL92" s="582"/>
      <c r="AM92" s="582"/>
      <c r="AN92" s="582"/>
      <c r="AO92" s="582"/>
      <c r="AP92" s="582"/>
      <c r="AQ92" s="582"/>
      <c r="AR92" s="582"/>
      <c r="AS92" s="582"/>
      <c r="AT92" s="593">
        <f t="shared" si="7"/>
        <v>4537052.6784999995</v>
      </c>
      <c r="AU92" s="36"/>
      <c r="AV92" s="36"/>
      <c r="AW92" s="36"/>
      <c r="AX92" s="36"/>
      <c r="AY92" s="36"/>
      <c r="AZ92" s="36"/>
      <c r="BA92" s="36"/>
      <c r="BB92" s="36"/>
      <c r="BC92" s="36"/>
      <c r="BD92" s="36"/>
      <c r="BE92" s="36"/>
      <c r="BF92" s="36"/>
      <c r="BG92" s="36"/>
      <c r="BH92" s="36"/>
      <c r="BI92" s="36"/>
      <c r="BJ92" s="36"/>
      <c r="BK92" s="57"/>
      <c r="BL92" s="26" t="s">
        <v>85</v>
      </c>
      <c r="BM92" s="42"/>
      <c r="BO92" s="606"/>
    </row>
    <row r="93" spans="1:67" s="38" customFormat="1" ht="89.25">
      <c r="A93" s="28" t="s">
        <v>6</v>
      </c>
      <c r="B93" s="26" t="s">
        <v>46</v>
      </c>
      <c r="C93" s="28" t="s">
        <v>11</v>
      </c>
      <c r="D93" s="34">
        <v>19</v>
      </c>
      <c r="E93" s="35" t="s">
        <v>19</v>
      </c>
      <c r="F93" s="34">
        <v>1905</v>
      </c>
      <c r="G93" s="28" t="s">
        <v>47</v>
      </c>
      <c r="H93" s="27">
        <v>1905026</v>
      </c>
      <c r="I93" s="28" t="s">
        <v>48</v>
      </c>
      <c r="J93" s="27">
        <v>190502600</v>
      </c>
      <c r="K93" s="636"/>
      <c r="L93" s="636"/>
      <c r="M93" s="27" t="s">
        <v>220</v>
      </c>
      <c r="N93" s="27"/>
      <c r="O93" s="37"/>
      <c r="P93" s="69">
        <v>4537052.68</v>
      </c>
      <c r="Q93" s="58" t="s">
        <v>211</v>
      </c>
      <c r="R93" s="1">
        <v>100</v>
      </c>
      <c r="S93" s="1" t="s">
        <v>128</v>
      </c>
      <c r="T93" s="27" t="s">
        <v>117</v>
      </c>
      <c r="U93" s="27" t="s">
        <v>119</v>
      </c>
      <c r="V93" s="28"/>
      <c r="W93" s="28"/>
      <c r="X93" s="28"/>
      <c r="Y93" s="28"/>
      <c r="Z93" s="1">
        <v>0</v>
      </c>
      <c r="AA93" s="1">
        <v>0</v>
      </c>
      <c r="AB93" s="1">
        <v>100</v>
      </c>
      <c r="AC93" s="1">
        <v>0</v>
      </c>
      <c r="AD93" s="582"/>
      <c r="AE93" s="582"/>
      <c r="AF93" s="707">
        <v>0</v>
      </c>
      <c r="AG93" s="582"/>
      <c r="AH93" s="582"/>
      <c r="AI93" s="582"/>
      <c r="AJ93" s="582"/>
      <c r="AK93" s="582"/>
      <c r="AL93" s="582"/>
      <c r="AM93" s="582"/>
      <c r="AN93" s="582"/>
      <c r="AO93" s="582"/>
      <c r="AP93" s="582"/>
      <c r="AQ93" s="582"/>
      <c r="AR93" s="582"/>
      <c r="AS93" s="582"/>
      <c r="AT93" s="593">
        <f t="shared" si="7"/>
        <v>0</v>
      </c>
      <c r="AU93" s="36"/>
      <c r="AV93" s="36"/>
      <c r="AW93" s="36"/>
      <c r="AX93" s="36"/>
      <c r="AY93" s="36"/>
      <c r="AZ93" s="36"/>
      <c r="BA93" s="36"/>
      <c r="BB93" s="36"/>
      <c r="BC93" s="36"/>
      <c r="BD93" s="36"/>
      <c r="BE93" s="36"/>
      <c r="BF93" s="36"/>
      <c r="BG93" s="36"/>
      <c r="BH93" s="36"/>
      <c r="BI93" s="36"/>
      <c r="BJ93" s="36"/>
      <c r="BK93" s="57"/>
      <c r="BL93" s="26" t="s">
        <v>85</v>
      </c>
      <c r="BM93" s="42"/>
      <c r="BO93" s="606"/>
    </row>
    <row r="94" spans="1:67" s="38" customFormat="1" ht="102" customHeight="1">
      <c r="A94" s="28" t="s">
        <v>6</v>
      </c>
      <c r="B94" s="26" t="s">
        <v>46</v>
      </c>
      <c r="C94" s="28" t="s">
        <v>11</v>
      </c>
      <c r="D94" s="34">
        <v>19</v>
      </c>
      <c r="E94" s="35" t="s">
        <v>19</v>
      </c>
      <c r="F94" s="34">
        <v>1905</v>
      </c>
      <c r="G94" s="28" t="s">
        <v>47</v>
      </c>
      <c r="H94" s="27">
        <v>1905026</v>
      </c>
      <c r="I94" s="28" t="s">
        <v>48</v>
      </c>
      <c r="J94" s="27">
        <v>190502600</v>
      </c>
      <c r="K94" s="636"/>
      <c r="L94" s="636"/>
      <c r="M94" s="27" t="s">
        <v>220</v>
      </c>
      <c r="N94" s="27"/>
      <c r="O94" s="37"/>
      <c r="P94" s="69">
        <v>2199621.7400000002</v>
      </c>
      <c r="Q94" s="51" t="s">
        <v>1238</v>
      </c>
      <c r="R94" s="1">
        <v>20</v>
      </c>
      <c r="S94" s="1" t="s">
        <v>173</v>
      </c>
      <c r="T94" s="27" t="s">
        <v>117</v>
      </c>
      <c r="U94" s="27" t="s">
        <v>119</v>
      </c>
      <c r="V94" s="28"/>
      <c r="W94" s="28"/>
      <c r="X94" s="28"/>
      <c r="Y94" s="28"/>
      <c r="Z94" s="1">
        <v>0</v>
      </c>
      <c r="AA94" s="1">
        <v>0</v>
      </c>
      <c r="AB94" s="1">
        <v>20</v>
      </c>
      <c r="AC94" s="1">
        <v>0</v>
      </c>
      <c r="AD94" s="582"/>
      <c r="AE94" s="582"/>
      <c r="AF94" s="579">
        <v>2199621.7439999999</v>
      </c>
      <c r="AG94" s="582"/>
      <c r="AH94" s="582"/>
      <c r="AI94" s="582"/>
      <c r="AJ94" s="582"/>
      <c r="AK94" s="582"/>
      <c r="AL94" s="582"/>
      <c r="AM94" s="582"/>
      <c r="AN94" s="582"/>
      <c r="AO94" s="582"/>
      <c r="AP94" s="582"/>
      <c r="AQ94" s="582"/>
      <c r="AR94" s="582"/>
      <c r="AS94" s="582"/>
      <c r="AT94" s="593">
        <f t="shared" si="7"/>
        <v>2199621.7439999999</v>
      </c>
      <c r="AU94" s="36"/>
      <c r="AV94" s="36"/>
      <c r="AW94" s="36"/>
      <c r="AX94" s="36"/>
      <c r="AY94" s="36"/>
      <c r="AZ94" s="36"/>
      <c r="BA94" s="36"/>
      <c r="BB94" s="36"/>
      <c r="BC94" s="36"/>
      <c r="BD94" s="36"/>
      <c r="BE94" s="36"/>
      <c r="BF94" s="36"/>
      <c r="BG94" s="36"/>
      <c r="BH94" s="36"/>
      <c r="BI94" s="36"/>
      <c r="BJ94" s="36"/>
      <c r="BK94" s="57"/>
      <c r="BL94" s="26" t="s">
        <v>85</v>
      </c>
      <c r="BM94" s="42"/>
      <c r="BO94" s="606"/>
    </row>
    <row r="95" spans="1:67" s="38" customFormat="1" ht="89.25">
      <c r="A95" s="28" t="s">
        <v>6</v>
      </c>
      <c r="B95" s="26" t="s">
        <v>46</v>
      </c>
      <c r="C95" s="28" t="s">
        <v>11</v>
      </c>
      <c r="D95" s="34">
        <v>19</v>
      </c>
      <c r="E95" s="35" t="s">
        <v>19</v>
      </c>
      <c r="F95" s="34">
        <v>1905</v>
      </c>
      <c r="G95" s="28" t="s">
        <v>47</v>
      </c>
      <c r="H95" s="27">
        <v>1905026</v>
      </c>
      <c r="I95" s="28" t="s">
        <v>48</v>
      </c>
      <c r="J95" s="27">
        <v>190502600</v>
      </c>
      <c r="K95" s="636"/>
      <c r="L95" s="636"/>
      <c r="M95" s="27" t="s">
        <v>220</v>
      </c>
      <c r="N95" s="27"/>
      <c r="O95" s="37"/>
      <c r="P95" s="69">
        <v>10765299.960000001</v>
      </c>
      <c r="Q95" s="51" t="s">
        <v>213</v>
      </c>
      <c r="R95" s="1">
        <v>100</v>
      </c>
      <c r="S95" s="1" t="s">
        <v>128</v>
      </c>
      <c r="T95" s="27" t="s">
        <v>117</v>
      </c>
      <c r="U95" s="27" t="s">
        <v>119</v>
      </c>
      <c r="V95" s="28"/>
      <c r="W95" s="28"/>
      <c r="X95" s="28"/>
      <c r="Y95" s="28"/>
      <c r="Z95" s="1">
        <v>25</v>
      </c>
      <c r="AA95" s="1">
        <v>25</v>
      </c>
      <c r="AB95" s="1">
        <v>25</v>
      </c>
      <c r="AC95" s="1">
        <v>25</v>
      </c>
      <c r="AD95" s="582"/>
      <c r="AE95" s="582"/>
      <c r="AF95" s="579">
        <v>10765299.960000001</v>
      </c>
      <c r="AG95" s="582"/>
      <c r="AH95" s="582"/>
      <c r="AI95" s="582"/>
      <c r="AJ95" s="582"/>
      <c r="AK95" s="582"/>
      <c r="AL95" s="582"/>
      <c r="AM95" s="582"/>
      <c r="AN95" s="582"/>
      <c r="AO95" s="582"/>
      <c r="AP95" s="582"/>
      <c r="AQ95" s="582"/>
      <c r="AR95" s="582"/>
      <c r="AS95" s="582"/>
      <c r="AT95" s="593">
        <f t="shared" si="7"/>
        <v>10765299.960000001</v>
      </c>
      <c r="AU95" s="36"/>
      <c r="AV95" s="36"/>
      <c r="AW95" s="36"/>
      <c r="AX95" s="36"/>
      <c r="AY95" s="36"/>
      <c r="AZ95" s="36"/>
      <c r="BA95" s="36"/>
      <c r="BB95" s="36"/>
      <c r="BC95" s="36"/>
      <c r="BD95" s="36"/>
      <c r="BE95" s="36"/>
      <c r="BF95" s="36"/>
      <c r="BG95" s="36"/>
      <c r="BH95" s="36"/>
      <c r="BI95" s="36"/>
      <c r="BJ95" s="36"/>
      <c r="BK95" s="57"/>
      <c r="BL95" s="26" t="s">
        <v>85</v>
      </c>
      <c r="BM95" s="42"/>
      <c r="BO95" s="606"/>
    </row>
    <row r="96" spans="1:67" s="38" customFormat="1" ht="89.25">
      <c r="A96" s="28" t="s">
        <v>6</v>
      </c>
      <c r="B96" s="26" t="s">
        <v>46</v>
      </c>
      <c r="C96" s="28" t="s">
        <v>11</v>
      </c>
      <c r="D96" s="34">
        <v>19</v>
      </c>
      <c r="E96" s="35" t="s">
        <v>19</v>
      </c>
      <c r="F96" s="34">
        <v>1905</v>
      </c>
      <c r="G96" s="28" t="s">
        <v>47</v>
      </c>
      <c r="H96" s="27">
        <v>1905026</v>
      </c>
      <c r="I96" s="28" t="s">
        <v>48</v>
      </c>
      <c r="J96" s="27">
        <v>190502600</v>
      </c>
      <c r="K96" s="636"/>
      <c r="L96" s="636"/>
      <c r="M96" s="27" t="s">
        <v>220</v>
      </c>
      <c r="N96" s="27"/>
      <c r="O96" s="37"/>
      <c r="P96" s="69">
        <v>26774758.91</v>
      </c>
      <c r="Q96" s="51" t="s">
        <v>214</v>
      </c>
      <c r="R96" s="1">
        <v>100</v>
      </c>
      <c r="S96" s="1" t="s">
        <v>128</v>
      </c>
      <c r="T96" s="27" t="s">
        <v>117</v>
      </c>
      <c r="U96" s="27" t="s">
        <v>119</v>
      </c>
      <c r="V96" s="28"/>
      <c r="W96" s="28"/>
      <c r="X96" s="28"/>
      <c r="Y96" s="28"/>
      <c r="Z96" s="1">
        <v>25</v>
      </c>
      <c r="AA96" s="1">
        <v>25</v>
      </c>
      <c r="AB96" s="1">
        <v>25</v>
      </c>
      <c r="AC96" s="1">
        <v>25</v>
      </c>
      <c r="AD96" s="582"/>
      <c r="AE96" s="582"/>
      <c r="AF96" s="575">
        <v>26774758.91</v>
      </c>
      <c r="AG96" s="582"/>
      <c r="AH96" s="582"/>
      <c r="AI96" s="582"/>
      <c r="AJ96" s="582"/>
      <c r="AK96" s="582"/>
      <c r="AL96" s="582"/>
      <c r="AM96" s="582"/>
      <c r="AN96" s="582"/>
      <c r="AO96" s="582"/>
      <c r="AP96" s="582"/>
      <c r="AQ96" s="582"/>
      <c r="AR96" s="582"/>
      <c r="AS96" s="582"/>
      <c r="AT96" s="593">
        <f t="shared" si="7"/>
        <v>26774758.91</v>
      </c>
      <c r="AU96" s="36"/>
      <c r="AV96" s="36"/>
      <c r="AW96" s="36"/>
      <c r="AX96" s="36"/>
      <c r="AY96" s="36"/>
      <c r="AZ96" s="36"/>
      <c r="BA96" s="36"/>
      <c r="BB96" s="36"/>
      <c r="BC96" s="36"/>
      <c r="BD96" s="36"/>
      <c r="BE96" s="36"/>
      <c r="BF96" s="36"/>
      <c r="BG96" s="36"/>
      <c r="BH96" s="36"/>
      <c r="BI96" s="36"/>
      <c r="BJ96" s="36"/>
      <c r="BK96" s="57"/>
      <c r="BL96" s="26" t="s">
        <v>85</v>
      </c>
      <c r="BM96" s="42"/>
      <c r="BO96" s="606"/>
    </row>
    <row r="97" spans="1:67" s="38" customFormat="1" ht="89.25">
      <c r="A97" s="28" t="s">
        <v>6</v>
      </c>
      <c r="B97" s="26" t="s">
        <v>46</v>
      </c>
      <c r="C97" s="28" t="s">
        <v>11</v>
      </c>
      <c r="D97" s="34">
        <v>19</v>
      </c>
      <c r="E97" s="35" t="s">
        <v>19</v>
      </c>
      <c r="F97" s="34">
        <v>1905</v>
      </c>
      <c r="G97" s="28" t="s">
        <v>47</v>
      </c>
      <c r="H97" s="27">
        <v>1905026</v>
      </c>
      <c r="I97" s="28" t="s">
        <v>48</v>
      </c>
      <c r="J97" s="27">
        <v>190502600</v>
      </c>
      <c r="K97" s="636"/>
      <c r="L97" s="636"/>
      <c r="M97" s="27" t="s">
        <v>220</v>
      </c>
      <c r="N97" s="27"/>
      <c r="O97" s="37"/>
      <c r="P97" s="69">
        <v>26774758.91</v>
      </c>
      <c r="Q97" s="51" t="s">
        <v>215</v>
      </c>
      <c r="R97" s="1">
        <v>1</v>
      </c>
      <c r="S97" s="1" t="s">
        <v>118</v>
      </c>
      <c r="T97" s="27" t="s">
        <v>117</v>
      </c>
      <c r="U97" s="27" t="s">
        <v>119</v>
      </c>
      <c r="V97" s="28"/>
      <c r="W97" s="28"/>
      <c r="X97" s="28"/>
      <c r="Y97" s="28"/>
      <c r="Z97" s="1">
        <v>0</v>
      </c>
      <c r="AA97" s="1">
        <v>0</v>
      </c>
      <c r="AB97" s="1">
        <v>0</v>
      </c>
      <c r="AC97" s="1">
        <v>1</v>
      </c>
      <c r="AD97" s="582"/>
      <c r="AE97" s="582"/>
      <c r="AF97" s="575">
        <v>26774758.91</v>
      </c>
      <c r="AG97" s="582"/>
      <c r="AH97" s="582"/>
      <c r="AI97" s="582"/>
      <c r="AJ97" s="582"/>
      <c r="AK97" s="582"/>
      <c r="AL97" s="582"/>
      <c r="AM97" s="582"/>
      <c r="AN97" s="582"/>
      <c r="AO97" s="582"/>
      <c r="AP97" s="582"/>
      <c r="AQ97" s="582"/>
      <c r="AR97" s="582"/>
      <c r="AS97" s="582"/>
      <c r="AT97" s="593">
        <f t="shared" si="7"/>
        <v>26774758.91</v>
      </c>
      <c r="AU97" s="36"/>
      <c r="AV97" s="36"/>
      <c r="AW97" s="36"/>
      <c r="AX97" s="36"/>
      <c r="AY97" s="36"/>
      <c r="AZ97" s="36"/>
      <c r="BA97" s="36"/>
      <c r="BB97" s="36"/>
      <c r="BC97" s="36"/>
      <c r="BD97" s="36"/>
      <c r="BE97" s="36"/>
      <c r="BF97" s="36"/>
      <c r="BG97" s="36"/>
      <c r="BH97" s="36"/>
      <c r="BI97" s="36"/>
      <c r="BJ97" s="36"/>
      <c r="BK97" s="57"/>
      <c r="BL97" s="26" t="s">
        <v>85</v>
      </c>
      <c r="BM97" s="42"/>
      <c r="BO97" s="606"/>
    </row>
    <row r="98" spans="1:67" s="38" customFormat="1" ht="89.25">
      <c r="A98" s="28" t="s">
        <v>6</v>
      </c>
      <c r="B98" s="26" t="s">
        <v>46</v>
      </c>
      <c r="C98" s="28" t="s">
        <v>11</v>
      </c>
      <c r="D98" s="34">
        <v>19</v>
      </c>
      <c r="E98" s="35" t="s">
        <v>19</v>
      </c>
      <c r="F98" s="34">
        <v>1905</v>
      </c>
      <c r="G98" s="28" t="s">
        <v>47</v>
      </c>
      <c r="H98" s="27">
        <v>1905026</v>
      </c>
      <c r="I98" s="28" t="s">
        <v>48</v>
      </c>
      <c r="J98" s="27">
        <v>190502600</v>
      </c>
      <c r="K98" s="636"/>
      <c r="L98" s="636"/>
      <c r="M98" s="27" t="s">
        <v>220</v>
      </c>
      <c r="N98" s="27"/>
      <c r="O98" s="37"/>
      <c r="P98" s="69">
        <v>16350000</v>
      </c>
      <c r="Q98" s="51" t="s">
        <v>216</v>
      </c>
      <c r="R98" s="1">
        <v>4</v>
      </c>
      <c r="S98" s="1" t="s">
        <v>118</v>
      </c>
      <c r="T98" s="27" t="s">
        <v>117</v>
      </c>
      <c r="U98" s="27" t="s">
        <v>119</v>
      </c>
      <c r="V98" s="28"/>
      <c r="W98" s="28"/>
      <c r="X98" s="28"/>
      <c r="Y98" s="28"/>
      <c r="Z98" s="1">
        <v>0</v>
      </c>
      <c r="AA98" s="1">
        <v>1</v>
      </c>
      <c r="AB98" s="1">
        <v>1</v>
      </c>
      <c r="AC98" s="1">
        <v>2</v>
      </c>
      <c r="AD98" s="582"/>
      <c r="AE98" s="582"/>
      <c r="AF98" s="589"/>
      <c r="AG98" s="582"/>
      <c r="AH98" s="582"/>
      <c r="AI98" s="582"/>
      <c r="AJ98" s="582"/>
      <c r="AK98" s="582"/>
      <c r="AL98" s="582"/>
      <c r="AM98" s="582"/>
      <c r="AN98" s="582"/>
      <c r="AO98" s="582"/>
      <c r="AP98" s="582"/>
      <c r="AQ98" s="575">
        <v>16350000</v>
      </c>
      <c r="AR98" s="582"/>
      <c r="AS98" s="582"/>
      <c r="AT98" s="593">
        <f t="shared" si="7"/>
        <v>16350000</v>
      </c>
      <c r="AU98" s="36"/>
      <c r="AV98" s="36"/>
      <c r="AW98" s="36"/>
      <c r="AX98" s="36"/>
      <c r="AY98" s="36"/>
      <c r="AZ98" s="36"/>
      <c r="BA98" s="36"/>
      <c r="BB98" s="36"/>
      <c r="BC98" s="36"/>
      <c r="BD98" s="36"/>
      <c r="BE98" s="36"/>
      <c r="BF98" s="36"/>
      <c r="BG98" s="36"/>
      <c r="BH98" s="36"/>
      <c r="BI98" s="36"/>
      <c r="BJ98" s="36"/>
      <c r="BK98" s="57"/>
      <c r="BL98" s="26" t="s">
        <v>85</v>
      </c>
      <c r="BM98" s="27"/>
      <c r="BO98" s="606"/>
    </row>
    <row r="99" spans="1:67" s="38" customFormat="1" ht="114.75">
      <c r="A99" s="28" t="s">
        <v>6</v>
      </c>
      <c r="B99" s="26" t="s">
        <v>46</v>
      </c>
      <c r="C99" s="28" t="s">
        <v>11</v>
      </c>
      <c r="D99" s="34">
        <v>19</v>
      </c>
      <c r="E99" s="35" t="s">
        <v>19</v>
      </c>
      <c r="F99" s="34">
        <v>1905</v>
      </c>
      <c r="G99" s="28" t="s">
        <v>47</v>
      </c>
      <c r="H99" s="27">
        <v>1905026</v>
      </c>
      <c r="I99" s="28" t="s">
        <v>48</v>
      </c>
      <c r="J99" s="27">
        <v>190502600</v>
      </c>
      <c r="K99" s="636"/>
      <c r="L99" s="636"/>
      <c r="M99" s="27" t="s">
        <v>220</v>
      </c>
      <c r="N99" s="27"/>
      <c r="O99" s="37"/>
      <c r="P99" s="69">
        <v>12016160</v>
      </c>
      <c r="Q99" s="51" t="s">
        <v>217</v>
      </c>
      <c r="R99" s="1">
        <v>4</v>
      </c>
      <c r="S99" s="1" t="s">
        <v>118</v>
      </c>
      <c r="T99" s="27" t="s">
        <v>117</v>
      </c>
      <c r="U99" s="27" t="s">
        <v>119</v>
      </c>
      <c r="V99" s="28"/>
      <c r="W99" s="28"/>
      <c r="X99" s="28"/>
      <c r="Y99" s="28"/>
      <c r="Z99" s="1">
        <v>0</v>
      </c>
      <c r="AA99" s="1">
        <v>1</v>
      </c>
      <c r="AB99" s="1">
        <v>1</v>
      </c>
      <c r="AC99" s="1">
        <v>2</v>
      </c>
      <c r="AD99" s="582"/>
      <c r="AE99" s="582"/>
      <c r="AF99" s="589"/>
      <c r="AG99" s="582"/>
      <c r="AH99" s="582"/>
      <c r="AI99" s="582"/>
      <c r="AJ99" s="582"/>
      <c r="AK99" s="582"/>
      <c r="AL99" s="582"/>
      <c r="AM99" s="582"/>
      <c r="AN99" s="582"/>
      <c r="AO99" s="582"/>
      <c r="AP99" s="582"/>
      <c r="AQ99" s="575">
        <v>12016160</v>
      </c>
      <c r="AR99" s="582"/>
      <c r="AS99" s="582"/>
      <c r="AT99" s="593">
        <f t="shared" si="7"/>
        <v>12016160</v>
      </c>
      <c r="AU99" s="36"/>
      <c r="AV99" s="36"/>
      <c r="AW99" s="36"/>
      <c r="AX99" s="36"/>
      <c r="AY99" s="36"/>
      <c r="AZ99" s="36"/>
      <c r="BA99" s="36"/>
      <c r="BB99" s="36"/>
      <c r="BC99" s="36"/>
      <c r="BD99" s="36"/>
      <c r="BE99" s="36"/>
      <c r="BF99" s="36"/>
      <c r="BG99" s="36"/>
      <c r="BH99" s="36"/>
      <c r="BI99" s="36"/>
      <c r="BJ99" s="36"/>
      <c r="BK99" s="57"/>
      <c r="BL99" s="26" t="s">
        <v>85</v>
      </c>
      <c r="BM99" s="27"/>
      <c r="BO99" s="606"/>
    </row>
    <row r="100" spans="1:67" s="38" customFormat="1" ht="140.25">
      <c r="A100" s="28" t="s">
        <v>6</v>
      </c>
      <c r="B100" s="26" t="s">
        <v>46</v>
      </c>
      <c r="C100" s="28" t="s">
        <v>11</v>
      </c>
      <c r="D100" s="34">
        <v>19</v>
      </c>
      <c r="E100" s="35" t="s">
        <v>19</v>
      </c>
      <c r="F100" s="34">
        <v>1905</v>
      </c>
      <c r="G100" s="28" t="s">
        <v>47</v>
      </c>
      <c r="H100" s="27">
        <v>1905026</v>
      </c>
      <c r="I100" s="28" t="s">
        <v>48</v>
      </c>
      <c r="J100" s="27">
        <v>190502600</v>
      </c>
      <c r="K100" s="636"/>
      <c r="L100" s="636"/>
      <c r="M100" s="27" t="s">
        <v>220</v>
      </c>
      <c r="N100" s="27"/>
      <c r="O100" s="37"/>
      <c r="P100" s="69">
        <v>20797200</v>
      </c>
      <c r="Q100" s="51" t="s">
        <v>218</v>
      </c>
      <c r="R100" s="1">
        <v>4</v>
      </c>
      <c r="S100" s="1" t="s">
        <v>118</v>
      </c>
      <c r="T100" s="27" t="s">
        <v>117</v>
      </c>
      <c r="U100" s="27" t="s">
        <v>119</v>
      </c>
      <c r="V100" s="28"/>
      <c r="W100" s="28"/>
      <c r="X100" s="28"/>
      <c r="Y100" s="28"/>
      <c r="Z100" s="1">
        <v>0</v>
      </c>
      <c r="AA100" s="1">
        <v>1</v>
      </c>
      <c r="AB100" s="1">
        <v>1</v>
      </c>
      <c r="AC100" s="1">
        <v>2</v>
      </c>
      <c r="AD100" s="582"/>
      <c r="AE100" s="582"/>
      <c r="AF100" s="589"/>
      <c r="AG100" s="582"/>
      <c r="AH100" s="582"/>
      <c r="AI100" s="582"/>
      <c r="AJ100" s="582"/>
      <c r="AK100" s="582"/>
      <c r="AL100" s="582"/>
      <c r="AM100" s="582"/>
      <c r="AN100" s="582"/>
      <c r="AO100" s="582"/>
      <c r="AP100" s="582"/>
      <c r="AQ100" s="575">
        <v>20797200</v>
      </c>
      <c r="AR100" s="582"/>
      <c r="AS100" s="582"/>
      <c r="AT100" s="593">
        <f t="shared" si="7"/>
        <v>20797200</v>
      </c>
      <c r="AU100" s="36"/>
      <c r="AV100" s="36"/>
      <c r="AW100" s="36"/>
      <c r="AX100" s="36"/>
      <c r="AY100" s="36"/>
      <c r="AZ100" s="36"/>
      <c r="BA100" s="36"/>
      <c r="BB100" s="36"/>
      <c r="BC100" s="36"/>
      <c r="BD100" s="36"/>
      <c r="BE100" s="36"/>
      <c r="BF100" s="36"/>
      <c r="BG100" s="36"/>
      <c r="BH100" s="36"/>
      <c r="BI100" s="36"/>
      <c r="BJ100" s="36"/>
      <c r="BK100" s="57"/>
      <c r="BL100" s="26" t="s">
        <v>85</v>
      </c>
      <c r="BM100" s="27"/>
      <c r="BO100" s="606"/>
    </row>
    <row r="101" spans="1:67" s="38" customFormat="1" ht="89.25">
      <c r="A101" s="28" t="s">
        <v>6</v>
      </c>
      <c r="B101" s="26" t="s">
        <v>46</v>
      </c>
      <c r="C101" s="28" t="s">
        <v>11</v>
      </c>
      <c r="D101" s="46">
        <v>19</v>
      </c>
      <c r="E101" s="35" t="s">
        <v>19</v>
      </c>
      <c r="F101" s="34">
        <v>1905</v>
      </c>
      <c r="G101" s="28" t="s">
        <v>47</v>
      </c>
      <c r="H101" s="27">
        <v>1905026</v>
      </c>
      <c r="I101" s="28" t="s">
        <v>48</v>
      </c>
      <c r="J101" s="27">
        <v>190502600</v>
      </c>
      <c r="K101" s="636"/>
      <c r="L101" s="636"/>
      <c r="M101" s="27" t="s">
        <v>220</v>
      </c>
      <c r="N101" s="27"/>
      <c r="O101" s="37"/>
      <c r="P101" s="69">
        <v>4386160</v>
      </c>
      <c r="Q101" s="58" t="s">
        <v>219</v>
      </c>
      <c r="R101" s="1">
        <v>4</v>
      </c>
      <c r="S101" s="1" t="s">
        <v>118</v>
      </c>
      <c r="T101" s="27" t="s">
        <v>117</v>
      </c>
      <c r="U101" s="27" t="s">
        <v>119</v>
      </c>
      <c r="V101" s="28"/>
      <c r="W101" s="28"/>
      <c r="X101" s="28"/>
      <c r="Y101" s="28"/>
      <c r="Z101" s="1">
        <v>0</v>
      </c>
      <c r="AA101" s="1">
        <v>1</v>
      </c>
      <c r="AB101" s="1">
        <v>1</v>
      </c>
      <c r="AC101" s="1">
        <v>2</v>
      </c>
      <c r="AD101" s="582"/>
      <c r="AE101" s="582"/>
      <c r="AF101" s="589"/>
      <c r="AG101" s="582"/>
      <c r="AH101" s="582"/>
      <c r="AI101" s="582"/>
      <c r="AJ101" s="582"/>
      <c r="AK101" s="582"/>
      <c r="AL101" s="582"/>
      <c r="AM101" s="582"/>
      <c r="AN101" s="582"/>
      <c r="AO101" s="582"/>
      <c r="AP101" s="582"/>
      <c r="AQ101" s="575">
        <v>4386160</v>
      </c>
      <c r="AR101" s="582"/>
      <c r="AS101" s="582"/>
      <c r="AT101" s="593">
        <f t="shared" si="7"/>
        <v>4386160</v>
      </c>
      <c r="AU101" s="36"/>
      <c r="AV101" s="36"/>
      <c r="AW101" s="36"/>
      <c r="AX101" s="36"/>
      <c r="AY101" s="36"/>
      <c r="AZ101" s="36"/>
      <c r="BA101" s="36"/>
      <c r="BB101" s="36"/>
      <c r="BC101" s="36"/>
      <c r="BD101" s="36"/>
      <c r="BE101" s="36"/>
      <c r="BF101" s="36"/>
      <c r="BG101" s="36"/>
      <c r="BH101" s="36"/>
      <c r="BI101" s="36"/>
      <c r="BJ101" s="36"/>
      <c r="BK101" s="57"/>
      <c r="BL101" s="26" t="s">
        <v>85</v>
      </c>
      <c r="BM101" s="27"/>
      <c r="BO101" s="606"/>
    </row>
    <row r="102" spans="1:67" s="38" customFormat="1" ht="89.25">
      <c r="A102" s="28" t="s">
        <v>6</v>
      </c>
      <c r="B102" s="26" t="s">
        <v>49</v>
      </c>
      <c r="C102" s="28" t="s">
        <v>11</v>
      </c>
      <c r="D102" s="46"/>
      <c r="E102" s="35" t="s">
        <v>19</v>
      </c>
      <c r="F102" s="34">
        <v>1905</v>
      </c>
      <c r="G102" s="28" t="s">
        <v>50</v>
      </c>
      <c r="H102" s="27">
        <v>1905025</v>
      </c>
      <c r="I102" s="28" t="s">
        <v>51</v>
      </c>
      <c r="J102" s="27">
        <v>190502500</v>
      </c>
      <c r="K102" s="635">
        <v>1</v>
      </c>
      <c r="L102" s="636">
        <v>1</v>
      </c>
      <c r="M102" s="27" t="s">
        <v>224</v>
      </c>
      <c r="N102" s="27"/>
      <c r="O102" s="37"/>
      <c r="P102" s="74">
        <f>AF102</f>
        <v>12090419.869999999</v>
      </c>
      <c r="Q102" s="58" t="s">
        <v>1239</v>
      </c>
      <c r="R102" s="1">
        <v>100</v>
      </c>
      <c r="S102" s="1" t="s">
        <v>225</v>
      </c>
      <c r="T102" s="27" t="s">
        <v>117</v>
      </c>
      <c r="U102" s="27" t="s">
        <v>119</v>
      </c>
      <c r="V102" s="28"/>
      <c r="W102" s="28"/>
      <c r="X102" s="28"/>
      <c r="Y102" s="28"/>
      <c r="Z102" s="1">
        <v>0</v>
      </c>
      <c r="AA102" s="1">
        <v>0</v>
      </c>
      <c r="AB102" s="1">
        <v>0</v>
      </c>
      <c r="AC102" s="1">
        <v>100</v>
      </c>
      <c r="AD102" s="582"/>
      <c r="AE102" s="582"/>
      <c r="AF102" s="583">
        <v>12090419.869999999</v>
      </c>
      <c r="AG102" s="582"/>
      <c r="AH102" s="582"/>
      <c r="AI102" s="582"/>
      <c r="AJ102" s="582"/>
      <c r="AK102" s="582"/>
      <c r="AL102" s="582"/>
      <c r="AM102" s="582"/>
      <c r="AN102" s="582"/>
      <c r="AO102" s="582"/>
      <c r="AP102" s="582"/>
      <c r="AQ102" s="582"/>
      <c r="AR102" s="582"/>
      <c r="AS102" s="582"/>
      <c r="AT102" s="593">
        <f t="shared" si="7"/>
        <v>12090419.869999999</v>
      </c>
      <c r="AU102" s="36"/>
      <c r="AV102" s="36"/>
      <c r="AW102" s="36"/>
      <c r="AX102" s="36"/>
      <c r="AY102" s="36"/>
      <c r="AZ102" s="36"/>
      <c r="BA102" s="36"/>
      <c r="BB102" s="36"/>
      <c r="BC102" s="36"/>
      <c r="BD102" s="36"/>
      <c r="BE102" s="36"/>
      <c r="BF102" s="36"/>
      <c r="BG102" s="36"/>
      <c r="BH102" s="36"/>
      <c r="BI102" s="36"/>
      <c r="BJ102" s="36"/>
      <c r="BK102" s="57"/>
      <c r="BL102" s="26" t="s">
        <v>85</v>
      </c>
      <c r="BM102" s="42"/>
      <c r="BO102" s="606"/>
    </row>
    <row r="103" spans="1:67" s="38" customFormat="1" ht="102" customHeight="1">
      <c r="A103" s="28" t="s">
        <v>6</v>
      </c>
      <c r="B103" s="26" t="s">
        <v>49</v>
      </c>
      <c r="C103" s="28" t="s">
        <v>11</v>
      </c>
      <c r="D103" s="46"/>
      <c r="E103" s="35" t="s">
        <v>19</v>
      </c>
      <c r="F103" s="34">
        <v>1905</v>
      </c>
      <c r="G103" s="28" t="s">
        <v>50</v>
      </c>
      <c r="H103" s="27">
        <v>1905025</v>
      </c>
      <c r="I103" s="28" t="s">
        <v>51</v>
      </c>
      <c r="J103" s="27">
        <v>190502500</v>
      </c>
      <c r="K103" s="636"/>
      <c r="L103" s="636"/>
      <c r="M103" s="27" t="s">
        <v>224</v>
      </c>
      <c r="N103" s="27"/>
      <c r="O103" s="37"/>
      <c r="P103" s="74">
        <f t="shared" si="6"/>
        <v>12090419.869999999</v>
      </c>
      <c r="Q103" s="58" t="s">
        <v>1240</v>
      </c>
      <c r="R103" s="1">
        <v>100</v>
      </c>
      <c r="S103" s="1" t="s">
        <v>225</v>
      </c>
      <c r="T103" s="27" t="s">
        <v>117</v>
      </c>
      <c r="U103" s="27" t="s">
        <v>119</v>
      </c>
      <c r="V103" s="28"/>
      <c r="W103" s="28"/>
      <c r="X103" s="28"/>
      <c r="Y103" s="28"/>
      <c r="Z103" s="1">
        <v>0</v>
      </c>
      <c r="AA103" s="1">
        <v>0</v>
      </c>
      <c r="AB103" s="1">
        <v>0</v>
      </c>
      <c r="AC103" s="1">
        <v>100</v>
      </c>
      <c r="AD103" s="582"/>
      <c r="AE103" s="582"/>
      <c r="AF103" s="583">
        <v>12090419.869999999</v>
      </c>
      <c r="AG103" s="582"/>
      <c r="AH103" s="582"/>
      <c r="AI103" s="582"/>
      <c r="AJ103" s="582"/>
      <c r="AK103" s="582"/>
      <c r="AL103" s="582"/>
      <c r="AM103" s="582"/>
      <c r="AN103" s="582"/>
      <c r="AO103" s="582"/>
      <c r="AP103" s="582"/>
      <c r="AQ103" s="582"/>
      <c r="AR103" s="582"/>
      <c r="AS103" s="582"/>
      <c r="AT103" s="593">
        <f t="shared" si="7"/>
        <v>12090419.869999999</v>
      </c>
      <c r="AU103" s="36"/>
      <c r="AV103" s="36"/>
      <c r="AW103" s="36"/>
      <c r="AX103" s="36"/>
      <c r="AY103" s="36"/>
      <c r="AZ103" s="36"/>
      <c r="BA103" s="36"/>
      <c r="BB103" s="36"/>
      <c r="BC103" s="36"/>
      <c r="BD103" s="36"/>
      <c r="BE103" s="36"/>
      <c r="BF103" s="36"/>
      <c r="BG103" s="36"/>
      <c r="BH103" s="36"/>
      <c r="BI103" s="36"/>
      <c r="BJ103" s="36"/>
      <c r="BK103" s="57"/>
      <c r="BL103" s="26" t="s">
        <v>85</v>
      </c>
      <c r="BM103" s="42"/>
      <c r="BO103" s="606"/>
    </row>
    <row r="104" spans="1:67" s="38" customFormat="1" ht="89.25">
      <c r="A104" s="28" t="s">
        <v>6</v>
      </c>
      <c r="B104" s="26" t="s">
        <v>49</v>
      </c>
      <c r="C104" s="28" t="s">
        <v>11</v>
      </c>
      <c r="D104" s="46"/>
      <c r="E104" s="35" t="s">
        <v>19</v>
      </c>
      <c r="F104" s="34">
        <v>1905</v>
      </c>
      <c r="G104" s="28" t="s">
        <v>50</v>
      </c>
      <c r="H104" s="27">
        <v>1905025</v>
      </c>
      <c r="I104" s="28" t="s">
        <v>51</v>
      </c>
      <c r="J104" s="27">
        <v>190502500</v>
      </c>
      <c r="K104" s="637"/>
      <c r="L104" s="636"/>
      <c r="M104" s="27" t="s">
        <v>224</v>
      </c>
      <c r="N104" s="27"/>
      <c r="O104" s="37"/>
      <c r="P104" s="74">
        <f t="shared" si="6"/>
        <v>2280419.87</v>
      </c>
      <c r="Q104" s="58" t="s">
        <v>1241</v>
      </c>
      <c r="R104" s="1">
        <v>2</v>
      </c>
      <c r="S104" s="1" t="s">
        <v>118</v>
      </c>
      <c r="T104" s="27" t="s">
        <v>117</v>
      </c>
      <c r="U104" s="27" t="s">
        <v>119</v>
      </c>
      <c r="V104" s="28"/>
      <c r="W104" s="28"/>
      <c r="X104" s="28"/>
      <c r="Y104" s="28"/>
      <c r="Z104" s="1">
        <v>0</v>
      </c>
      <c r="AA104" s="1">
        <v>0</v>
      </c>
      <c r="AB104" s="1">
        <v>1</v>
      </c>
      <c r="AC104" s="1">
        <v>1</v>
      </c>
      <c r="AD104" s="582"/>
      <c r="AE104" s="582"/>
      <c r="AF104" s="583">
        <v>2280419.87</v>
      </c>
      <c r="AG104" s="582"/>
      <c r="AH104" s="582"/>
      <c r="AI104" s="582"/>
      <c r="AJ104" s="582"/>
      <c r="AK104" s="582"/>
      <c r="AL104" s="582"/>
      <c r="AM104" s="582"/>
      <c r="AN104" s="582"/>
      <c r="AO104" s="582"/>
      <c r="AP104" s="582"/>
      <c r="AQ104" s="582"/>
      <c r="AR104" s="582"/>
      <c r="AS104" s="582"/>
      <c r="AT104" s="593">
        <f t="shared" si="7"/>
        <v>2280419.87</v>
      </c>
      <c r="AU104" s="36"/>
      <c r="AV104" s="36"/>
      <c r="AW104" s="36"/>
      <c r="AX104" s="36"/>
      <c r="AY104" s="36"/>
      <c r="AZ104" s="36"/>
      <c r="BA104" s="36"/>
      <c r="BB104" s="36"/>
      <c r="BC104" s="36"/>
      <c r="BD104" s="36"/>
      <c r="BE104" s="36"/>
      <c r="BF104" s="36"/>
      <c r="BG104" s="36"/>
      <c r="BH104" s="36"/>
      <c r="BI104" s="36"/>
      <c r="BJ104" s="36"/>
      <c r="BK104" s="57"/>
      <c r="BL104" s="26" t="s">
        <v>85</v>
      </c>
      <c r="BM104" s="42"/>
      <c r="BO104" s="606"/>
    </row>
    <row r="105" spans="1:67" s="38" customFormat="1" ht="102">
      <c r="A105" s="28" t="s">
        <v>6</v>
      </c>
      <c r="B105" s="26" t="s">
        <v>52</v>
      </c>
      <c r="C105" s="28" t="s">
        <v>11</v>
      </c>
      <c r="D105" s="46"/>
      <c r="E105" s="35" t="s">
        <v>19</v>
      </c>
      <c r="F105" s="34">
        <v>1905</v>
      </c>
      <c r="G105" s="28" t="s">
        <v>53</v>
      </c>
      <c r="H105" s="27">
        <v>1905030</v>
      </c>
      <c r="I105" s="28" t="s">
        <v>54</v>
      </c>
      <c r="J105" s="27">
        <v>190503000</v>
      </c>
      <c r="K105" s="1">
        <v>3425</v>
      </c>
      <c r="L105" s="56" t="s">
        <v>113</v>
      </c>
      <c r="M105" s="27" t="s">
        <v>230</v>
      </c>
      <c r="N105" s="27"/>
      <c r="O105" s="1"/>
      <c r="P105" s="74">
        <v>2310800</v>
      </c>
      <c r="Q105" s="51" t="s">
        <v>1242</v>
      </c>
      <c r="R105" s="1">
        <v>1</v>
      </c>
      <c r="S105" s="1" t="s">
        <v>118</v>
      </c>
      <c r="T105" s="27" t="s">
        <v>117</v>
      </c>
      <c r="U105" s="27" t="s">
        <v>119</v>
      </c>
      <c r="V105" s="28"/>
      <c r="W105" s="28"/>
      <c r="X105" s="28"/>
      <c r="Y105" s="28"/>
      <c r="Z105" s="1">
        <v>0</v>
      </c>
      <c r="AA105" s="1">
        <v>0</v>
      </c>
      <c r="AB105" s="1">
        <v>0</v>
      </c>
      <c r="AC105" s="1">
        <v>1</v>
      </c>
      <c r="AD105" s="582"/>
      <c r="AE105" s="582"/>
      <c r="AF105" s="595"/>
      <c r="AG105" s="582"/>
      <c r="AH105" s="582"/>
      <c r="AI105" s="582"/>
      <c r="AJ105" s="582"/>
      <c r="AK105" s="582"/>
      <c r="AL105" s="582"/>
      <c r="AM105" s="582"/>
      <c r="AN105" s="582"/>
      <c r="AO105" s="582"/>
      <c r="AP105" s="582"/>
      <c r="AQ105" s="588">
        <v>2310800</v>
      </c>
      <c r="AR105" s="582"/>
      <c r="AS105" s="582"/>
      <c r="AT105" s="593">
        <f t="shared" si="7"/>
        <v>2310800</v>
      </c>
      <c r="AU105" s="36"/>
      <c r="AV105" s="36"/>
      <c r="AW105" s="36"/>
      <c r="AX105" s="36"/>
      <c r="AY105" s="36"/>
      <c r="AZ105" s="36"/>
      <c r="BA105" s="36"/>
      <c r="BB105" s="36"/>
      <c r="BC105" s="36"/>
      <c r="BD105" s="36"/>
      <c r="BE105" s="36"/>
      <c r="BF105" s="36"/>
      <c r="BG105" s="36"/>
      <c r="BH105" s="36"/>
      <c r="BI105" s="36"/>
      <c r="BJ105" s="36"/>
      <c r="BK105" s="57"/>
      <c r="BL105" s="26" t="s">
        <v>85</v>
      </c>
      <c r="BM105" s="27"/>
      <c r="BO105" s="606"/>
    </row>
    <row r="106" spans="1:67" s="38" customFormat="1" ht="102">
      <c r="A106" s="28" t="s">
        <v>6</v>
      </c>
      <c r="B106" s="26" t="s">
        <v>52</v>
      </c>
      <c r="C106" s="28" t="s">
        <v>11</v>
      </c>
      <c r="D106" s="46"/>
      <c r="E106" s="35" t="s">
        <v>19</v>
      </c>
      <c r="F106" s="34">
        <v>1905</v>
      </c>
      <c r="G106" s="28" t="s">
        <v>55</v>
      </c>
      <c r="H106" s="27">
        <v>1905005</v>
      </c>
      <c r="I106" s="28" t="s">
        <v>55</v>
      </c>
      <c r="J106" s="27">
        <v>190500500</v>
      </c>
      <c r="K106" s="44">
        <v>1</v>
      </c>
      <c r="L106" s="56">
        <v>1</v>
      </c>
      <c r="M106" s="27" t="s">
        <v>231</v>
      </c>
      <c r="N106" s="27"/>
      <c r="O106" s="1"/>
      <c r="P106" s="74">
        <f t="shared" si="6"/>
        <v>295520000</v>
      </c>
      <c r="Q106" s="51" t="s">
        <v>227</v>
      </c>
      <c r="R106" s="1">
        <v>100</v>
      </c>
      <c r="S106" s="1" t="s">
        <v>128</v>
      </c>
      <c r="T106" s="27" t="s">
        <v>117</v>
      </c>
      <c r="U106" s="27" t="s">
        <v>119</v>
      </c>
      <c r="V106" s="28"/>
      <c r="W106" s="28"/>
      <c r="X106" s="28"/>
      <c r="Y106" s="28"/>
      <c r="Z106" s="1">
        <v>25</v>
      </c>
      <c r="AA106" s="1">
        <v>25</v>
      </c>
      <c r="AB106" s="1">
        <v>25</v>
      </c>
      <c r="AC106" s="1">
        <v>25</v>
      </c>
      <c r="AD106" s="582"/>
      <c r="AE106" s="582"/>
      <c r="AF106" s="582"/>
      <c r="AG106" s="582"/>
      <c r="AH106" s="582"/>
      <c r="AI106" s="582"/>
      <c r="AJ106" s="582"/>
      <c r="AK106" s="582"/>
      <c r="AL106" s="582"/>
      <c r="AM106" s="582"/>
      <c r="AN106" s="582"/>
      <c r="AO106" s="582"/>
      <c r="AP106" s="582"/>
      <c r="AQ106" s="582"/>
      <c r="AR106" s="582"/>
      <c r="AS106" s="582">
        <v>295520000</v>
      </c>
      <c r="AT106" s="593">
        <f t="shared" si="7"/>
        <v>295520000</v>
      </c>
      <c r="AU106" s="36"/>
      <c r="AV106" s="36"/>
      <c r="AW106" s="36"/>
      <c r="AX106" s="36"/>
      <c r="AY106" s="36"/>
      <c r="AZ106" s="36"/>
      <c r="BA106" s="36"/>
      <c r="BB106" s="36"/>
      <c r="BC106" s="36"/>
      <c r="BD106" s="36"/>
      <c r="BE106" s="36"/>
      <c r="BF106" s="36"/>
      <c r="BG106" s="36"/>
      <c r="BH106" s="36"/>
      <c r="BI106" s="36"/>
      <c r="BJ106" s="36"/>
      <c r="BK106" s="57"/>
      <c r="BL106" s="26" t="s">
        <v>85</v>
      </c>
      <c r="BM106" s="42"/>
      <c r="BO106" s="606"/>
    </row>
    <row r="107" spans="1:67" s="38" customFormat="1" ht="102">
      <c r="A107" s="28" t="s">
        <v>6</v>
      </c>
      <c r="B107" s="26" t="s">
        <v>52</v>
      </c>
      <c r="C107" s="28" t="s">
        <v>11</v>
      </c>
      <c r="D107" s="46"/>
      <c r="E107" s="35" t="s">
        <v>19</v>
      </c>
      <c r="F107" s="34">
        <v>1905</v>
      </c>
      <c r="G107" s="28" t="s">
        <v>55</v>
      </c>
      <c r="H107" s="27">
        <v>1905005</v>
      </c>
      <c r="I107" s="28" t="s">
        <v>55</v>
      </c>
      <c r="J107" s="27">
        <v>190500500</v>
      </c>
      <c r="K107" s="44">
        <v>1</v>
      </c>
      <c r="L107" s="56" t="s">
        <v>113</v>
      </c>
      <c r="M107" s="27" t="s">
        <v>233</v>
      </c>
      <c r="N107" s="27"/>
      <c r="O107" s="1"/>
      <c r="P107" s="74">
        <f>AT107</f>
        <v>34880000</v>
      </c>
      <c r="Q107" s="51" t="s">
        <v>229</v>
      </c>
      <c r="R107" s="1">
        <v>100</v>
      </c>
      <c r="S107" s="1" t="s">
        <v>128</v>
      </c>
      <c r="T107" s="27" t="s">
        <v>117</v>
      </c>
      <c r="U107" s="27" t="s">
        <v>119</v>
      </c>
      <c r="V107" s="28"/>
      <c r="W107" s="28"/>
      <c r="X107" s="28"/>
      <c r="Y107" s="28"/>
      <c r="Z107" s="1">
        <v>25</v>
      </c>
      <c r="AA107" s="1">
        <v>25</v>
      </c>
      <c r="AB107" s="1">
        <v>25</v>
      </c>
      <c r="AC107" s="1">
        <v>25</v>
      </c>
      <c r="AD107" s="582"/>
      <c r="AE107" s="582"/>
      <c r="AF107" s="582"/>
      <c r="AG107" s="582"/>
      <c r="AH107" s="582"/>
      <c r="AI107" s="582"/>
      <c r="AJ107" s="582"/>
      <c r="AK107" s="582"/>
      <c r="AL107" s="582"/>
      <c r="AM107" s="582"/>
      <c r="AN107" s="582"/>
      <c r="AO107" s="582"/>
      <c r="AP107" s="582"/>
      <c r="AQ107" s="582"/>
      <c r="AR107" s="582"/>
      <c r="AS107" s="582">
        <v>34880000</v>
      </c>
      <c r="AT107" s="593">
        <f t="shared" si="7"/>
        <v>34880000</v>
      </c>
      <c r="AU107" s="36"/>
      <c r="AV107" s="36"/>
      <c r="AW107" s="36"/>
      <c r="AX107" s="36"/>
      <c r="AY107" s="36"/>
      <c r="AZ107" s="36"/>
      <c r="BA107" s="36"/>
      <c r="BB107" s="36"/>
      <c r="BC107" s="36"/>
      <c r="BD107" s="36"/>
      <c r="BE107" s="36"/>
      <c r="BF107" s="36"/>
      <c r="BG107" s="36"/>
      <c r="BH107" s="36"/>
      <c r="BI107" s="36"/>
      <c r="BJ107" s="36"/>
      <c r="BK107" s="57"/>
      <c r="BL107" s="26" t="s">
        <v>85</v>
      </c>
      <c r="BM107" s="42"/>
      <c r="BO107" s="606"/>
    </row>
    <row r="108" spans="1:67" s="38" customFormat="1" ht="102">
      <c r="A108" s="28" t="s">
        <v>6</v>
      </c>
      <c r="B108" s="26" t="s">
        <v>52</v>
      </c>
      <c r="C108" s="28" t="s">
        <v>11</v>
      </c>
      <c r="D108" s="46"/>
      <c r="E108" s="35" t="s">
        <v>19</v>
      </c>
      <c r="F108" s="34">
        <v>1905</v>
      </c>
      <c r="G108" s="28" t="s">
        <v>55</v>
      </c>
      <c r="H108" s="27">
        <v>1905005</v>
      </c>
      <c r="I108" s="28" t="s">
        <v>55</v>
      </c>
      <c r="J108" s="27">
        <v>190500500</v>
      </c>
      <c r="K108" s="44">
        <v>1</v>
      </c>
      <c r="L108" s="56">
        <v>1</v>
      </c>
      <c r="M108" s="27" t="s">
        <v>232</v>
      </c>
      <c r="N108" s="27"/>
      <c r="O108" s="1"/>
      <c r="P108" s="74">
        <f t="shared" si="6"/>
        <v>9766400</v>
      </c>
      <c r="Q108" s="51" t="s">
        <v>228</v>
      </c>
      <c r="R108" s="1">
        <v>1</v>
      </c>
      <c r="S108" s="1" t="s">
        <v>118</v>
      </c>
      <c r="T108" s="27" t="s">
        <v>117</v>
      </c>
      <c r="U108" s="27" t="s">
        <v>119</v>
      </c>
      <c r="V108" s="28"/>
      <c r="W108" s="28"/>
      <c r="X108" s="28"/>
      <c r="Y108" s="28"/>
      <c r="Z108" s="1">
        <v>0</v>
      </c>
      <c r="AA108" s="1">
        <v>0</v>
      </c>
      <c r="AB108" s="1">
        <v>0</v>
      </c>
      <c r="AC108" s="1">
        <v>1</v>
      </c>
      <c r="AD108" s="711"/>
      <c r="AE108" s="711"/>
      <c r="AF108" s="595"/>
      <c r="AG108" s="711"/>
      <c r="AH108" s="711"/>
      <c r="AI108" s="711"/>
      <c r="AJ108" s="711"/>
      <c r="AK108" s="711"/>
      <c r="AL108" s="711"/>
      <c r="AM108" s="711"/>
      <c r="AN108" s="711"/>
      <c r="AO108" s="711"/>
      <c r="AP108" s="711"/>
      <c r="AQ108" s="712">
        <v>9766400</v>
      </c>
      <c r="AR108" s="711"/>
      <c r="AS108" s="711"/>
      <c r="AT108" s="713">
        <f t="shared" si="7"/>
        <v>9766400</v>
      </c>
      <c r="AU108" s="714"/>
      <c r="AV108" s="714"/>
      <c r="AW108" s="714"/>
      <c r="AX108" s="714"/>
      <c r="AY108" s="714"/>
      <c r="AZ108" s="714"/>
      <c r="BA108" s="714"/>
      <c r="BB108" s="714"/>
      <c r="BC108" s="714"/>
      <c r="BD108" s="714"/>
      <c r="BE108" s="714"/>
      <c r="BF108" s="714"/>
      <c r="BG108" s="714"/>
      <c r="BH108" s="714"/>
      <c r="BI108" s="714"/>
      <c r="BJ108" s="714"/>
      <c r="BK108" s="715"/>
      <c r="BL108" s="31" t="s">
        <v>85</v>
      </c>
      <c r="BM108" s="49"/>
      <c r="BO108" s="606"/>
    </row>
    <row r="109" spans="1:67" ht="31.5" customHeight="1">
      <c r="P109" s="7"/>
      <c r="AD109" s="716">
        <f t="shared" ref="AD109:AT109" si="8">SUM(AD10:AD108)</f>
        <v>0</v>
      </c>
      <c r="AE109" s="716">
        <f>SUM(AE10:AE108)</f>
        <v>32944646167.25</v>
      </c>
      <c r="AF109" s="716">
        <f t="shared" si="8"/>
        <v>1370622674.5577006</v>
      </c>
      <c r="AG109" s="716">
        <f t="shared" si="8"/>
        <v>0</v>
      </c>
      <c r="AH109" s="716">
        <f t="shared" si="8"/>
        <v>0</v>
      </c>
      <c r="AI109" s="716">
        <f t="shared" si="8"/>
        <v>0</v>
      </c>
      <c r="AJ109" s="716">
        <f t="shared" si="8"/>
        <v>0</v>
      </c>
      <c r="AK109" s="716">
        <f t="shared" si="8"/>
        <v>0</v>
      </c>
      <c r="AL109" s="716">
        <f t="shared" si="8"/>
        <v>0</v>
      </c>
      <c r="AM109" s="716">
        <f t="shared" si="8"/>
        <v>0</v>
      </c>
      <c r="AN109" s="716">
        <f t="shared" si="8"/>
        <v>0</v>
      </c>
      <c r="AO109" s="716">
        <f t="shared" si="8"/>
        <v>0</v>
      </c>
      <c r="AP109" s="716">
        <f t="shared" si="8"/>
        <v>22324284376.82</v>
      </c>
      <c r="AQ109" s="716">
        <f t="shared" si="8"/>
        <v>66586973320.97049</v>
      </c>
      <c r="AR109" s="716">
        <f t="shared" si="8"/>
        <v>0</v>
      </c>
      <c r="AS109" s="716">
        <f t="shared" si="8"/>
        <v>1447752401.01</v>
      </c>
      <c r="AT109" s="716">
        <f t="shared" si="8"/>
        <v>124674278940.60815</v>
      </c>
      <c r="AU109" s="717"/>
      <c r="AV109" s="717"/>
      <c r="AW109" s="717"/>
      <c r="AX109" s="717"/>
      <c r="AY109" s="717"/>
      <c r="AZ109" s="717"/>
      <c r="BA109" s="717"/>
      <c r="BB109" s="717"/>
      <c r="BC109" s="717"/>
      <c r="BD109" s="717"/>
      <c r="BE109" s="717"/>
      <c r="BF109" s="717"/>
      <c r="BG109" s="717"/>
      <c r="BH109" s="717"/>
      <c r="BI109" s="717"/>
      <c r="BJ109" s="717"/>
      <c r="BK109" s="717"/>
      <c r="BL109" s="718"/>
      <c r="BM109" s="719"/>
    </row>
    <row r="110" spans="1:67">
      <c r="P110" s="7"/>
      <c r="AD110" s="720"/>
      <c r="AE110" s="720"/>
      <c r="AF110" s="716"/>
      <c r="AG110" s="716"/>
      <c r="AH110" s="716"/>
      <c r="AI110" s="716"/>
      <c r="AJ110" s="720"/>
      <c r="AK110" s="716"/>
      <c r="AL110" s="716"/>
      <c r="AM110" s="716"/>
      <c r="AN110" s="716"/>
      <c r="AO110" s="716"/>
      <c r="AP110" s="716"/>
      <c r="AQ110" s="716"/>
      <c r="AR110" s="716"/>
      <c r="AS110" s="716"/>
      <c r="AT110" s="593">
        <v>124674278940.61</v>
      </c>
      <c r="AU110" s="721"/>
      <c r="AV110" s="721"/>
      <c r="AW110" s="721"/>
      <c r="AX110" s="721"/>
      <c r="AY110" s="721"/>
      <c r="AZ110" s="721"/>
      <c r="BA110" s="721"/>
      <c r="BB110" s="721"/>
      <c r="BC110" s="721"/>
      <c r="BD110" s="721"/>
      <c r="BE110" s="721"/>
      <c r="BF110" s="721"/>
      <c r="BG110" s="721"/>
      <c r="BH110" s="721"/>
      <c r="BI110" s="721"/>
      <c r="BJ110" s="721"/>
      <c r="BK110" s="721"/>
      <c r="BL110" s="718"/>
      <c r="BM110" s="719"/>
    </row>
    <row r="111" spans="1:67">
      <c r="P111" s="7"/>
      <c r="AD111" s="722"/>
      <c r="AE111" s="722"/>
      <c r="AF111" s="716"/>
      <c r="AG111" s="716"/>
      <c r="AH111" s="716"/>
      <c r="AI111" s="716"/>
      <c r="AJ111" s="720"/>
      <c r="AK111" s="716"/>
      <c r="AL111" s="716"/>
      <c r="AM111" s="716"/>
      <c r="AN111" s="716"/>
      <c r="AO111" s="716"/>
      <c r="AP111" s="716"/>
      <c r="AQ111" s="716"/>
      <c r="AR111" s="716"/>
      <c r="AS111" s="716"/>
      <c r="AT111" s="593">
        <f>AT109-AT110</f>
        <v>-1.8463134765625E-3</v>
      </c>
      <c r="AU111" s="717"/>
      <c r="AV111" s="717"/>
      <c r="AW111" s="717"/>
      <c r="AX111" s="717"/>
      <c r="AY111" s="717"/>
      <c r="AZ111" s="717"/>
      <c r="BA111" s="717"/>
      <c r="BB111" s="717"/>
      <c r="BC111" s="717"/>
      <c r="BD111" s="717"/>
      <c r="BE111" s="717"/>
      <c r="BF111" s="717"/>
      <c r="BG111" s="717"/>
      <c r="BH111" s="717"/>
      <c r="BI111" s="717"/>
      <c r="BJ111" s="717"/>
      <c r="BK111" s="717"/>
      <c r="BL111" s="718"/>
      <c r="BM111" s="719"/>
    </row>
    <row r="112" spans="1:67">
      <c r="AD112" s="626"/>
      <c r="AE112" s="626"/>
    </row>
    <row r="113" spans="30:31">
      <c r="AD113" s="626"/>
      <c r="AE113" s="626"/>
    </row>
    <row r="114" spans="30:31">
      <c r="AD114" s="626"/>
      <c r="AE114" s="626"/>
    </row>
    <row r="115" spans="30:31">
      <c r="AD115" s="626"/>
      <c r="AE115" s="626"/>
    </row>
    <row r="116" spans="30:31">
      <c r="AD116" s="626"/>
      <c r="AE116" s="626"/>
    </row>
    <row r="117" spans="30:31">
      <c r="AD117" s="626"/>
      <c r="AE117" s="626"/>
    </row>
    <row r="118" spans="30:31">
      <c r="AD118" s="626"/>
      <c r="AE118" s="626"/>
    </row>
    <row r="119" spans="30:31">
      <c r="AD119" s="626"/>
      <c r="AE119" s="626"/>
    </row>
    <row r="120" spans="30:31">
      <c r="AD120" s="626"/>
      <c r="AE120" s="626"/>
    </row>
    <row r="121" spans="30:31">
      <c r="AD121" s="626"/>
      <c r="AE121" s="626"/>
    </row>
    <row r="122" spans="30:31">
      <c r="AD122" s="626"/>
      <c r="AE122" s="626"/>
    </row>
    <row r="123" spans="30:31">
      <c r="AD123" s="626"/>
      <c r="AE123" s="626"/>
    </row>
    <row r="124" spans="30:31">
      <c r="AD124" s="626"/>
      <c r="AE124" s="626"/>
    </row>
    <row r="125" spans="30:31">
      <c r="AD125" s="626"/>
      <c r="AE125" s="626"/>
    </row>
    <row r="126" spans="30:31">
      <c r="AD126" s="626"/>
      <c r="AE126" s="626"/>
    </row>
    <row r="127" spans="30:31">
      <c r="AD127" s="626"/>
      <c r="AE127" s="626"/>
    </row>
    <row r="128" spans="30:31">
      <c r="AD128" s="626"/>
      <c r="AE128" s="626"/>
    </row>
    <row r="129" spans="8:31">
      <c r="AD129" s="625"/>
      <c r="AE129" s="625"/>
    </row>
    <row r="130" spans="8:31">
      <c r="AD130" s="625"/>
      <c r="AE130" s="625"/>
    </row>
    <row r="131" spans="8:31">
      <c r="H131" s="48"/>
    </row>
  </sheetData>
  <autoFilter ref="A9:BM126"/>
  <mergeCells count="29">
    <mergeCell ref="A3:BL3"/>
    <mergeCell ref="A4:BL4"/>
    <mergeCell ref="A5:BL5"/>
    <mergeCell ref="A6:K6"/>
    <mergeCell ref="A7:F8"/>
    <mergeCell ref="M7:P8"/>
    <mergeCell ref="Q7:U8"/>
    <mergeCell ref="V7:Y8"/>
    <mergeCell ref="Z7:AC8"/>
    <mergeCell ref="AD7:AT8"/>
    <mergeCell ref="BL7:BL8"/>
    <mergeCell ref="G7:L8"/>
    <mergeCell ref="AU7:BK8"/>
    <mergeCell ref="BM7:BM9"/>
    <mergeCell ref="K81:K101"/>
    <mergeCell ref="K102:K104"/>
    <mergeCell ref="L40:L49"/>
    <mergeCell ref="L53:L58"/>
    <mergeCell ref="L59:L68"/>
    <mergeCell ref="L71:L80"/>
    <mergeCell ref="L81:L101"/>
    <mergeCell ref="L102:L104"/>
    <mergeCell ref="K53:K58"/>
    <mergeCell ref="K59:K68"/>
    <mergeCell ref="K71:K80"/>
    <mergeCell ref="K40:K49"/>
    <mergeCell ref="K19:K24"/>
    <mergeCell ref="K25:K27"/>
    <mergeCell ref="K29:K37"/>
  </mergeCells>
  <pageMargins left="0.70866141732283472" right="0.70866141732283472" top="0.74803149606299213" bottom="0.74803149606299213" header="0.31496062992125984" footer="0.31496062992125984"/>
  <pageSetup paperSize="5" scale="2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C111"/>
  <sheetViews>
    <sheetView topLeftCell="P1" zoomScale="60" zoomScaleNormal="60" workbookViewId="0">
      <selection activeCell="Z9" sqref="Z9"/>
    </sheetView>
  </sheetViews>
  <sheetFormatPr baseColWidth="10" defaultColWidth="11.42578125" defaultRowHeight="15.75"/>
  <cols>
    <col min="1" max="1" width="9" style="345" hidden="1" customWidth="1"/>
    <col min="2" max="2" width="17.28515625" style="345" hidden="1" customWidth="1"/>
    <col min="3" max="3" width="9.42578125" style="345" hidden="1" customWidth="1"/>
    <col min="4" max="4" width="8.85546875" style="345" hidden="1" customWidth="1"/>
    <col min="5" max="5" width="18.140625" style="345" hidden="1" customWidth="1"/>
    <col min="6" max="6" width="31.85546875" style="422" hidden="1" customWidth="1"/>
    <col min="7" max="7" width="32.42578125" style="345" hidden="1" customWidth="1"/>
    <col min="8" max="8" width="26.7109375" style="345" hidden="1" customWidth="1"/>
    <col min="9" max="9" width="5.28515625" style="345" hidden="1" customWidth="1"/>
    <col min="10" max="10" width="46.42578125" style="345" hidden="1" customWidth="1"/>
    <col min="11" max="11" width="28.140625" style="345" customWidth="1"/>
    <col min="12" max="12" width="26.28515625" style="345" customWidth="1"/>
    <col min="13" max="13" width="27.7109375" style="345" customWidth="1"/>
    <col min="14" max="14" width="28.140625" style="345" customWidth="1"/>
    <col min="15" max="15" width="22.85546875" style="516" customWidth="1"/>
    <col min="16" max="16" width="20.85546875" style="345" customWidth="1"/>
    <col min="17" max="17" width="26.140625" style="516" customWidth="1"/>
    <col min="18" max="18" width="11.140625" style="517" customWidth="1"/>
    <col min="19" max="19" width="21.28515625" style="442" customWidth="1"/>
    <col min="20" max="20" width="33.85546875" style="487" customWidth="1"/>
    <col min="21" max="21" width="13.5703125" style="442" customWidth="1"/>
    <col min="22" max="22" width="15.140625" style="442" customWidth="1"/>
    <col min="23" max="23" width="23.42578125" style="442" hidden="1" customWidth="1"/>
    <col min="24" max="24" width="28.28515625" style="442" hidden="1" customWidth="1"/>
    <col min="25" max="25" width="42.28515625" style="442" hidden="1" customWidth="1"/>
    <col min="26" max="26" width="39" style="442" hidden="1" customWidth="1"/>
    <col min="27" max="27" width="35.85546875" style="442" hidden="1" customWidth="1"/>
    <col min="28" max="28" width="38" style="442" hidden="1" customWidth="1"/>
    <col min="29" max="29" width="36.140625" style="442" hidden="1" customWidth="1"/>
    <col min="30" max="30" width="33.28515625" style="442" hidden="1" customWidth="1"/>
    <col min="31" max="31" width="41.140625" style="442" hidden="1" customWidth="1"/>
    <col min="32" max="32" width="38.42578125" style="442" hidden="1" customWidth="1"/>
    <col min="33" max="33" width="40.140625" style="442" hidden="1" customWidth="1"/>
    <col min="34" max="34" width="0.85546875" style="442" customWidth="1"/>
    <col min="35" max="35" width="35.42578125" style="536" customWidth="1"/>
    <col min="36" max="36" width="14.7109375" style="260" hidden="1" customWidth="1"/>
    <col min="37" max="37" width="18.28515625" style="260" hidden="1" customWidth="1"/>
    <col min="38" max="38" width="16.7109375" style="260" hidden="1" customWidth="1"/>
    <col min="39" max="39" width="23.85546875" style="260" hidden="1" customWidth="1"/>
    <col min="40" max="40" width="15.7109375" style="260" hidden="1" customWidth="1"/>
    <col min="41" max="41" width="19" style="260" hidden="1" customWidth="1"/>
    <col min="42" max="42" width="4.28515625" style="537" hidden="1" customWidth="1"/>
    <col min="43" max="43" width="4.5703125" style="538" hidden="1" customWidth="1"/>
    <col min="44" max="44" width="5.140625" style="537" hidden="1" customWidth="1"/>
    <col min="45" max="45" width="5.5703125" style="537" hidden="1" customWidth="1"/>
    <col min="46" max="46" width="6.85546875" style="537" hidden="1" customWidth="1"/>
    <col min="47" max="47" width="7.140625" style="537" hidden="1" customWidth="1"/>
    <col min="48" max="48" width="16.7109375" style="539" hidden="1" customWidth="1"/>
    <col min="49" max="49" width="19.7109375" style="539" hidden="1" customWidth="1"/>
    <col min="50" max="50" width="26.42578125" style="540" customWidth="1"/>
    <col min="51" max="51" width="10.140625" style="540" customWidth="1"/>
    <col min="52" max="52" width="17.5703125" style="541" customWidth="1"/>
    <col min="53" max="53" width="17.42578125" style="540" customWidth="1"/>
    <col min="54" max="54" width="15.28515625" style="540" customWidth="1"/>
    <col min="55" max="55" width="20" style="540" hidden="1" customWidth="1"/>
    <col min="56" max="56" width="11.5703125" style="540" hidden="1" customWidth="1"/>
    <col min="57" max="57" width="24.7109375" style="540" customWidth="1"/>
    <col min="58" max="58" width="15" style="540" customWidth="1"/>
    <col min="59" max="59" width="16.140625" style="557" hidden="1" customWidth="1"/>
    <col min="60" max="60" width="16.140625" style="558" hidden="1" customWidth="1"/>
    <col min="61" max="61" width="18.85546875" style="558" hidden="1" customWidth="1"/>
    <col min="62" max="62" width="14.42578125" style="558" hidden="1" customWidth="1"/>
    <col min="63" max="63" width="18.7109375" style="558" hidden="1" customWidth="1"/>
    <col min="64" max="66" width="18.7109375" style="345" hidden="1" customWidth="1"/>
    <col min="67" max="67" width="9.5703125" style="345" hidden="1" customWidth="1"/>
    <col min="68" max="68" width="18.7109375" style="345" hidden="1" customWidth="1"/>
    <col min="69" max="70" width="8.7109375" style="345" hidden="1" customWidth="1"/>
    <col min="71" max="71" width="8.5703125" style="345" hidden="1" customWidth="1"/>
    <col min="72" max="72" width="7.140625" style="345" hidden="1" customWidth="1"/>
    <col min="73" max="86" width="18.7109375" style="345" hidden="1" customWidth="1"/>
    <col min="87" max="87" width="23.42578125" style="345" hidden="1" customWidth="1"/>
    <col min="88" max="88" width="21.7109375" style="345" hidden="1" customWidth="1"/>
    <col min="89" max="89" width="22.85546875" style="345" hidden="1" customWidth="1"/>
    <col min="90" max="90" width="19" style="345" hidden="1" customWidth="1"/>
    <col min="91" max="91" width="33.5703125" style="554" hidden="1" customWidth="1"/>
    <col min="92" max="92" width="23.85546875" style="345" hidden="1" customWidth="1"/>
    <col min="93" max="93" width="21.140625" style="345" hidden="1" customWidth="1"/>
    <col min="94" max="94" width="12.5703125" style="345" hidden="1" customWidth="1"/>
    <col min="95" max="95" width="17.5703125" style="345" hidden="1" customWidth="1"/>
    <col min="96" max="96" width="23.140625" style="345" hidden="1" customWidth="1"/>
    <col min="97" max="97" width="19.28515625" style="345" hidden="1" customWidth="1"/>
    <col min="98" max="98" width="26.7109375" style="345" hidden="1" customWidth="1"/>
    <col min="99" max="99" width="29.7109375" style="345" hidden="1" customWidth="1"/>
    <col min="100" max="100" width="23.28515625" style="345" hidden="1" customWidth="1"/>
    <col min="101" max="101" width="21.5703125" style="345" hidden="1" customWidth="1"/>
    <col min="102" max="102" width="22.85546875" style="345" hidden="1" customWidth="1"/>
    <col min="103" max="103" width="23.5703125" style="345" hidden="1" customWidth="1"/>
    <col min="104" max="104" width="24.140625" style="345" hidden="1" customWidth="1"/>
    <col min="105" max="105" width="18.7109375" style="345" hidden="1" customWidth="1"/>
    <col min="106" max="106" width="22.140625" style="345" hidden="1" customWidth="1"/>
    <col min="107" max="107" width="25.7109375" style="345" hidden="1" customWidth="1"/>
    <col min="108" max="108" width="22.140625" style="345" hidden="1" customWidth="1"/>
    <col min="109" max="110" width="24" style="345" hidden="1" customWidth="1"/>
    <col min="111" max="111" width="18.7109375" style="345" hidden="1" customWidth="1"/>
    <col min="112" max="112" width="24" style="280" hidden="1" customWidth="1"/>
    <col min="113" max="113" width="25.5703125" style="280" hidden="1" customWidth="1"/>
    <col min="114" max="115" width="18.7109375" style="345" hidden="1" customWidth="1"/>
    <col min="116" max="116" width="25.5703125" style="345" hidden="1" customWidth="1"/>
    <col min="117" max="117" width="23.7109375" style="345" hidden="1" customWidth="1"/>
    <col min="118" max="118" width="24" style="345" hidden="1" customWidth="1"/>
    <col min="119" max="119" width="23.85546875" style="345" hidden="1" customWidth="1"/>
    <col min="120" max="120" width="18.7109375" style="345" hidden="1" customWidth="1"/>
    <col min="121" max="121" width="24" style="345" hidden="1" customWidth="1"/>
    <col min="122" max="122" width="24.140625" style="345" hidden="1" customWidth="1"/>
    <col min="123" max="123" width="24" style="345" hidden="1" customWidth="1"/>
    <col min="124" max="124" width="23" style="345" hidden="1" customWidth="1"/>
    <col min="125" max="125" width="18.7109375" style="345" hidden="1" customWidth="1"/>
    <col min="126" max="126" width="22.5703125" style="280" customWidth="1"/>
    <col min="127" max="127" width="18.7109375" style="300" hidden="1" customWidth="1"/>
    <col min="128" max="128" width="17.7109375" style="300" hidden="1" customWidth="1"/>
    <col min="129" max="129" width="8.85546875" style="300" hidden="1" customWidth="1"/>
    <col min="130" max="130" width="17.5703125" style="300" customWidth="1"/>
    <col min="131" max="131" width="28.85546875" style="408" customWidth="1"/>
    <col min="132" max="132" width="25.7109375" style="612" customWidth="1"/>
    <col min="133" max="133" width="11.42578125" style="280"/>
    <col min="134" max="16384" width="11.42578125" style="345"/>
  </cols>
  <sheetData>
    <row r="1" spans="1:133" ht="87.75" customHeight="1" thickBot="1">
      <c r="A1" s="309" t="s">
        <v>241</v>
      </c>
      <c r="B1" s="309" t="s">
        <v>242</v>
      </c>
      <c r="C1" s="309" t="s">
        <v>243</v>
      </c>
      <c r="D1" s="309" t="s">
        <v>244</v>
      </c>
      <c r="E1" s="309" t="s">
        <v>245</v>
      </c>
      <c r="F1" s="310" t="s">
        <v>246</v>
      </c>
      <c r="G1" s="309" t="s">
        <v>247</v>
      </c>
      <c r="H1" s="309" t="s">
        <v>252</v>
      </c>
      <c r="I1" s="309" t="s">
        <v>253</v>
      </c>
      <c r="J1" s="309" t="s">
        <v>254</v>
      </c>
      <c r="K1" s="309" t="s">
        <v>255</v>
      </c>
      <c r="L1" s="309" t="s">
        <v>256</v>
      </c>
      <c r="M1" s="311" t="s">
        <v>595</v>
      </c>
      <c r="N1" s="312" t="s">
        <v>257</v>
      </c>
      <c r="O1" s="312" t="s">
        <v>258</v>
      </c>
      <c r="P1" s="312" t="s">
        <v>259</v>
      </c>
      <c r="Q1" s="312" t="s">
        <v>260</v>
      </c>
      <c r="R1" s="312" t="s">
        <v>262</v>
      </c>
      <c r="S1" s="312" t="s">
        <v>261</v>
      </c>
      <c r="T1" s="312" t="s">
        <v>263</v>
      </c>
      <c r="U1" s="312" t="s">
        <v>264</v>
      </c>
      <c r="V1" s="312" t="s">
        <v>265</v>
      </c>
      <c r="W1" s="312" t="s">
        <v>266</v>
      </c>
      <c r="X1" s="257" t="s">
        <v>596</v>
      </c>
      <c r="Y1" s="257" t="s">
        <v>597</v>
      </c>
      <c r="Z1" s="257" t="s">
        <v>598</v>
      </c>
      <c r="AA1" s="257" t="s">
        <v>599</v>
      </c>
      <c r="AB1" s="257" t="s">
        <v>600</v>
      </c>
      <c r="AC1" s="257" t="s">
        <v>601</v>
      </c>
      <c r="AD1" s="257" t="s">
        <v>602</v>
      </c>
      <c r="AE1" s="257" t="s">
        <v>293</v>
      </c>
      <c r="AF1" s="257" t="s">
        <v>603</v>
      </c>
      <c r="AG1" s="257" t="s">
        <v>604</v>
      </c>
      <c r="AH1" s="257" t="s">
        <v>605</v>
      </c>
      <c r="AI1" s="313" t="s">
        <v>267</v>
      </c>
      <c r="AJ1" s="314" t="s">
        <v>272</v>
      </c>
      <c r="AK1" s="314" t="s">
        <v>273</v>
      </c>
      <c r="AL1" s="314" t="s">
        <v>274</v>
      </c>
      <c r="AM1" s="314" t="s">
        <v>275</v>
      </c>
      <c r="AN1" s="314" t="s">
        <v>276</v>
      </c>
      <c r="AO1" s="315" t="s">
        <v>277</v>
      </c>
      <c r="AP1" s="316" t="s">
        <v>606</v>
      </c>
      <c r="AQ1" s="317" t="s">
        <v>607</v>
      </c>
      <c r="AR1" s="316" t="s">
        <v>608</v>
      </c>
      <c r="AS1" s="316" t="s">
        <v>609</v>
      </c>
      <c r="AT1" s="316" t="s">
        <v>610</v>
      </c>
      <c r="AU1" s="316" t="s">
        <v>611</v>
      </c>
      <c r="AV1" s="318" t="s">
        <v>612</v>
      </c>
      <c r="AW1" s="318" t="s">
        <v>613</v>
      </c>
      <c r="AX1" s="319" t="s">
        <v>614</v>
      </c>
      <c r="AY1" s="320" t="s">
        <v>615</v>
      </c>
      <c r="AZ1" s="321" t="s">
        <v>616</v>
      </c>
      <c r="BA1" s="320" t="s">
        <v>617</v>
      </c>
      <c r="BB1" s="322" t="s">
        <v>618</v>
      </c>
      <c r="BC1" s="319" t="s">
        <v>619</v>
      </c>
      <c r="BD1" s="319" t="s">
        <v>620</v>
      </c>
      <c r="BE1" s="323" t="s">
        <v>621</v>
      </c>
      <c r="BF1" s="324" t="s">
        <v>622</v>
      </c>
      <c r="BG1" s="325" t="s">
        <v>623</v>
      </c>
      <c r="BH1" s="325" t="s">
        <v>624</v>
      </c>
      <c r="BI1" s="325" t="s">
        <v>625</v>
      </c>
      <c r="BJ1" s="326" t="s">
        <v>626</v>
      </c>
      <c r="BK1" s="326" t="s">
        <v>627</v>
      </c>
      <c r="BL1" s="327" t="s">
        <v>628</v>
      </c>
      <c r="BM1" s="327" t="s">
        <v>629</v>
      </c>
      <c r="BN1" s="327" t="s">
        <v>630</v>
      </c>
      <c r="BO1" s="328" t="s">
        <v>631</v>
      </c>
      <c r="BP1" s="329" t="s">
        <v>632</v>
      </c>
      <c r="BQ1" s="327" t="s">
        <v>633</v>
      </c>
      <c r="BR1" s="327" t="s">
        <v>634</v>
      </c>
      <c r="BS1" s="327" t="s">
        <v>635</v>
      </c>
      <c r="BT1" s="328" t="s">
        <v>636</v>
      </c>
      <c r="BU1" s="329" t="s">
        <v>632</v>
      </c>
      <c r="BV1" s="327" t="s">
        <v>637</v>
      </c>
      <c r="BW1" s="327" t="s">
        <v>638</v>
      </c>
      <c r="BX1" s="327" t="s">
        <v>639</v>
      </c>
      <c r="BY1" s="328" t="s">
        <v>640</v>
      </c>
      <c r="BZ1" s="329" t="s">
        <v>632</v>
      </c>
      <c r="CA1" s="327" t="s">
        <v>641</v>
      </c>
      <c r="CB1" s="327" t="s">
        <v>642</v>
      </c>
      <c r="CC1" s="327" t="s">
        <v>643</v>
      </c>
      <c r="CD1" s="328" t="s">
        <v>644</v>
      </c>
      <c r="CE1" s="329" t="s">
        <v>632</v>
      </c>
      <c r="CF1" s="330" t="s">
        <v>645</v>
      </c>
      <c r="CG1" s="331" t="s">
        <v>646</v>
      </c>
      <c r="CH1" s="332" t="s">
        <v>647</v>
      </c>
      <c r="CI1" s="333" t="s">
        <v>648</v>
      </c>
      <c r="CJ1" s="334" t="s">
        <v>628</v>
      </c>
      <c r="CK1" s="334" t="s">
        <v>629</v>
      </c>
      <c r="CL1" s="334" t="s">
        <v>630</v>
      </c>
      <c r="CM1" s="335" t="s">
        <v>649</v>
      </c>
      <c r="CN1" s="335" t="s">
        <v>650</v>
      </c>
      <c r="CO1" s="336" t="s">
        <v>632</v>
      </c>
      <c r="CP1" s="334" t="s">
        <v>633</v>
      </c>
      <c r="CQ1" s="334" t="s">
        <v>634</v>
      </c>
      <c r="CR1" s="334" t="s">
        <v>635</v>
      </c>
      <c r="CS1" s="335" t="s">
        <v>651</v>
      </c>
      <c r="CT1" s="335" t="s">
        <v>652</v>
      </c>
      <c r="CU1" s="336" t="s">
        <v>632</v>
      </c>
      <c r="CV1" s="334" t="s">
        <v>637</v>
      </c>
      <c r="CW1" s="334" t="s">
        <v>638</v>
      </c>
      <c r="CX1" s="334" t="s">
        <v>639</v>
      </c>
      <c r="CY1" s="335" t="s">
        <v>653</v>
      </c>
      <c r="CZ1" s="335" t="s">
        <v>654</v>
      </c>
      <c r="DA1" s="336" t="s">
        <v>655</v>
      </c>
      <c r="DB1" s="334" t="s">
        <v>641</v>
      </c>
      <c r="DC1" s="334" t="s">
        <v>642</v>
      </c>
      <c r="DD1" s="334" t="s">
        <v>643</v>
      </c>
      <c r="DE1" s="335" t="s">
        <v>656</v>
      </c>
      <c r="DF1" s="335" t="s">
        <v>657</v>
      </c>
      <c r="DG1" s="336" t="s">
        <v>632</v>
      </c>
      <c r="DH1" s="337" t="s">
        <v>658</v>
      </c>
      <c r="DI1" s="337" t="s">
        <v>659</v>
      </c>
      <c r="DJ1" s="338" t="s">
        <v>646</v>
      </c>
      <c r="DK1" s="339" t="s">
        <v>660</v>
      </c>
      <c r="DL1" s="340" t="s">
        <v>661</v>
      </c>
      <c r="DM1" s="340" t="s">
        <v>662</v>
      </c>
      <c r="DN1" s="340" t="s">
        <v>663</v>
      </c>
      <c r="DO1" s="340" t="s">
        <v>664</v>
      </c>
      <c r="DP1" s="340" t="s">
        <v>665</v>
      </c>
      <c r="DQ1" s="341" t="s">
        <v>666</v>
      </c>
      <c r="DR1" s="341" t="s">
        <v>667</v>
      </c>
      <c r="DS1" s="341" t="s">
        <v>668</v>
      </c>
      <c r="DT1" s="341" t="s">
        <v>669</v>
      </c>
      <c r="DU1" s="341" t="s">
        <v>670</v>
      </c>
      <c r="DV1" s="280" t="s">
        <v>671</v>
      </c>
      <c r="DW1" s="342" t="s">
        <v>672</v>
      </c>
      <c r="DX1" s="342" t="s">
        <v>673</v>
      </c>
      <c r="DY1" s="300" t="s">
        <v>639</v>
      </c>
      <c r="DZ1" s="343" t="s">
        <v>674</v>
      </c>
      <c r="EA1" s="344">
        <v>2024</v>
      </c>
      <c r="EB1" s="607" t="s">
        <v>675</v>
      </c>
    </row>
    <row r="2" spans="1:133" ht="156.75" hidden="1" customHeight="1" thickTop="1">
      <c r="A2" s="80">
        <v>1</v>
      </c>
      <c r="B2" s="346" t="s">
        <v>6</v>
      </c>
      <c r="C2" s="82" t="s">
        <v>304</v>
      </c>
      <c r="D2" s="82" t="s">
        <v>305</v>
      </c>
      <c r="E2" s="346" t="s">
        <v>114</v>
      </c>
      <c r="F2" s="40" t="s">
        <v>306</v>
      </c>
      <c r="G2" s="346" t="s">
        <v>307</v>
      </c>
      <c r="H2" s="347" t="s">
        <v>310</v>
      </c>
      <c r="I2" s="347" t="s">
        <v>311</v>
      </c>
      <c r="J2" s="32">
        <v>25</v>
      </c>
      <c r="K2" s="348" t="s">
        <v>312</v>
      </c>
      <c r="L2" s="40" t="s">
        <v>676</v>
      </c>
      <c r="M2" s="40" t="s">
        <v>677</v>
      </c>
      <c r="N2" s="349" t="s">
        <v>11</v>
      </c>
      <c r="O2" s="350">
        <v>19</v>
      </c>
      <c r="P2" s="39" t="s">
        <v>12</v>
      </c>
      <c r="Q2" s="32">
        <v>1906</v>
      </c>
      <c r="R2" s="351">
        <v>1906004</v>
      </c>
      <c r="S2" s="352" t="s">
        <v>13</v>
      </c>
      <c r="T2" s="353" t="s">
        <v>314</v>
      </c>
      <c r="U2" s="351" t="s">
        <v>315</v>
      </c>
      <c r="V2" s="354" t="s">
        <v>14</v>
      </c>
      <c r="W2" s="355" t="s">
        <v>316</v>
      </c>
      <c r="X2" s="356">
        <f>BE2</f>
        <v>30224446025.490002</v>
      </c>
      <c r="Y2" s="355"/>
      <c r="Z2" s="355"/>
      <c r="AA2" s="355"/>
      <c r="AB2" s="355"/>
      <c r="AC2" s="355"/>
      <c r="AD2" s="355"/>
      <c r="AE2" s="355"/>
      <c r="AF2" s="355"/>
      <c r="AG2" s="355"/>
      <c r="AH2" s="356">
        <f>SUM(X2:AG2)</f>
        <v>30224446025.490002</v>
      </c>
      <c r="AI2" s="357" t="s">
        <v>120</v>
      </c>
      <c r="AJ2" s="80">
        <v>63890</v>
      </c>
      <c r="AK2" s="80">
        <v>65890</v>
      </c>
      <c r="AL2" s="80">
        <v>64390</v>
      </c>
      <c r="AM2" s="80">
        <v>64890</v>
      </c>
      <c r="AN2" s="80">
        <v>65390</v>
      </c>
      <c r="AO2" s="358">
        <v>65890</v>
      </c>
      <c r="AP2" s="33">
        <f>AR2+AS2+AT2+AU2</f>
        <v>12</v>
      </c>
      <c r="AQ2" s="359" t="s">
        <v>316</v>
      </c>
      <c r="AR2" s="25">
        <v>3</v>
      </c>
      <c r="AS2" s="25">
        <v>3</v>
      </c>
      <c r="AT2" s="25">
        <v>3</v>
      </c>
      <c r="AU2" s="25">
        <v>3</v>
      </c>
      <c r="AV2" s="39" t="s">
        <v>678</v>
      </c>
      <c r="AW2" s="39" t="s">
        <v>679</v>
      </c>
      <c r="AX2" s="39" t="s">
        <v>680</v>
      </c>
      <c r="AY2" s="25">
        <v>400</v>
      </c>
      <c r="AZ2" s="39" t="s">
        <v>681</v>
      </c>
      <c r="BA2" s="40" t="s">
        <v>13</v>
      </c>
      <c r="BB2" s="360" t="s">
        <v>682</v>
      </c>
      <c r="BC2" s="361" t="s">
        <v>683</v>
      </c>
      <c r="BD2" s="40" t="s">
        <v>684</v>
      </c>
      <c r="BE2" s="362">
        <f>30224446025+0.49</f>
        <v>30224446025.490002</v>
      </c>
      <c r="BF2" s="363" t="s">
        <v>685</v>
      </c>
      <c r="BG2" s="364" t="s">
        <v>686</v>
      </c>
      <c r="BH2" s="365" t="s">
        <v>154</v>
      </c>
      <c r="BI2" s="365" t="s">
        <v>687</v>
      </c>
      <c r="BJ2" s="26" t="s">
        <v>688</v>
      </c>
      <c r="BK2" s="26" t="s">
        <v>689</v>
      </c>
      <c r="BL2" s="359">
        <v>0</v>
      </c>
      <c r="BM2" s="359">
        <v>1</v>
      </c>
      <c r="BN2" s="359">
        <v>2</v>
      </c>
      <c r="BO2" s="366">
        <f>SUM(BL2:BN2)</f>
        <v>3</v>
      </c>
      <c r="BP2" s="367">
        <f>BO2/AP2</f>
        <v>0.25</v>
      </c>
      <c r="BQ2" s="359">
        <v>1</v>
      </c>
      <c r="BR2" s="359">
        <v>1</v>
      </c>
      <c r="BS2" s="359">
        <v>1</v>
      </c>
      <c r="BT2" s="366">
        <f>SUM(BQ2:BS2)</f>
        <v>3</v>
      </c>
      <c r="BU2" s="367">
        <f>BT2/AP2</f>
        <v>0.25</v>
      </c>
      <c r="BV2" s="359">
        <v>1</v>
      </c>
      <c r="BW2" s="359">
        <v>1</v>
      </c>
      <c r="BX2" s="359">
        <v>1</v>
      </c>
      <c r="BY2" s="366">
        <f>SUM(BV2:BX2)</f>
        <v>3</v>
      </c>
      <c r="BZ2" s="367">
        <f>BY2/AP2</f>
        <v>0.25</v>
      </c>
      <c r="CA2" s="359">
        <v>0</v>
      </c>
      <c r="CB2" s="359">
        <v>0</v>
      </c>
      <c r="CC2" s="359">
        <v>0</v>
      </c>
      <c r="CD2" s="366">
        <f>SUM(CA2:CC2)</f>
        <v>0</v>
      </c>
      <c r="CE2" s="367">
        <f>CD2/AU2</f>
        <v>0</v>
      </c>
      <c r="CF2" s="368">
        <f>BO2+BT2+BY2+CD2</f>
        <v>9</v>
      </c>
      <c r="CG2" s="359">
        <f>CF2/AP2</f>
        <v>0.75</v>
      </c>
      <c r="CH2" s="369"/>
      <c r="CI2" s="369"/>
      <c r="CJ2" s="370">
        <v>0</v>
      </c>
      <c r="CK2" s="371">
        <v>2760354454</v>
      </c>
      <c r="CL2" s="372">
        <v>4993471194</v>
      </c>
      <c r="CM2" s="373">
        <v>7753825648</v>
      </c>
      <c r="CN2" s="374">
        <f>SUM(CJ2:CL2)</f>
        <v>7753825648</v>
      </c>
      <c r="CO2" s="370">
        <f>CN2/BE2</f>
        <v>0.25654153070202695</v>
      </c>
      <c r="CP2" s="370">
        <v>2496735597</v>
      </c>
      <c r="CQ2" s="370">
        <v>2496735597</v>
      </c>
      <c r="CR2" s="370">
        <v>2496735597</v>
      </c>
      <c r="CS2" s="375">
        <f>SUM(CP2:CR2)</f>
        <v>7490206791</v>
      </c>
      <c r="CT2" s="375">
        <f>SUM(CP2:CR2)</f>
        <v>7490206791</v>
      </c>
      <c r="CU2" s="370">
        <f>CT2/BE2</f>
        <v>0.24781948971647258</v>
      </c>
      <c r="CV2" s="370">
        <v>2496735597</v>
      </c>
      <c r="CW2" s="370">
        <v>2496735597</v>
      </c>
      <c r="CX2" s="372">
        <v>2496735597</v>
      </c>
      <c r="CY2" s="374">
        <f>CV2+CW2+CX2</f>
        <v>7490206791</v>
      </c>
      <c r="CZ2" s="375">
        <f>SUM(CV2:CX2)</f>
        <v>7490206791</v>
      </c>
      <c r="DA2" s="370">
        <f>CZ2/BE2</f>
        <v>0.24781948971647258</v>
      </c>
      <c r="DB2" s="370">
        <v>2496735597</v>
      </c>
      <c r="DC2" s="370">
        <v>2496735597</v>
      </c>
      <c r="DD2" s="370">
        <v>2496735597</v>
      </c>
      <c r="DE2" s="374">
        <f>DB2+DC2+DD2</f>
        <v>7490206791</v>
      </c>
      <c r="DF2" s="375">
        <f>SUM(DB2:DD2)</f>
        <v>7490206791</v>
      </c>
      <c r="DG2" s="370">
        <f>DF2/BE2</f>
        <v>0.24781948971647258</v>
      </c>
      <c r="DH2" s="376">
        <f>$CM2+$CS2+$CY2+$DE2</f>
        <v>30224446021</v>
      </c>
      <c r="DI2" s="376">
        <f>$CN2+$CT2+$CZ2+$DF2</f>
        <v>30224446021</v>
      </c>
      <c r="DJ2" s="370">
        <f>DH2/BE2</f>
        <v>0.99999999985144472</v>
      </c>
      <c r="DK2" s="370"/>
      <c r="DL2" s="377">
        <f>SUM(DM2:DP2)</f>
        <v>30224446021</v>
      </c>
      <c r="DM2" s="370">
        <f>CM2</f>
        <v>7753825648</v>
      </c>
      <c r="DN2" s="370">
        <f>CS2</f>
        <v>7490206791</v>
      </c>
      <c r="DO2" s="370">
        <f>CY2</f>
        <v>7490206791</v>
      </c>
      <c r="DP2" s="370">
        <f>DE2</f>
        <v>7490206791</v>
      </c>
      <c r="DQ2" s="378">
        <f>SUM(DR2:DU2)</f>
        <v>30224446021</v>
      </c>
      <c r="DR2" s="370">
        <f>CN2</f>
        <v>7753825648</v>
      </c>
      <c r="DS2" s="370">
        <f>CT2</f>
        <v>7490206791</v>
      </c>
      <c r="DT2" s="370">
        <f>CZ2</f>
        <v>7490206791</v>
      </c>
      <c r="DU2" s="370">
        <f>DF2</f>
        <v>7490206791</v>
      </c>
      <c r="DW2" s="379">
        <v>0</v>
      </c>
      <c r="DX2" s="379">
        <v>0</v>
      </c>
      <c r="DY2" s="380">
        <v>0</v>
      </c>
      <c r="DZ2" s="381"/>
      <c r="EA2" s="382">
        <v>32944646167.25</v>
      </c>
      <c r="EB2" s="608"/>
    </row>
    <row r="3" spans="1:133" ht="169.5" hidden="1" customHeight="1">
      <c r="A3" s="80">
        <v>1</v>
      </c>
      <c r="B3" s="346" t="s">
        <v>6</v>
      </c>
      <c r="C3" s="82" t="s">
        <v>304</v>
      </c>
      <c r="D3" s="82" t="s">
        <v>305</v>
      </c>
      <c r="E3" s="346" t="s">
        <v>114</v>
      </c>
      <c r="F3" s="40" t="s">
        <v>306</v>
      </c>
      <c r="G3" s="346" t="s">
        <v>307</v>
      </c>
      <c r="H3" s="347" t="s">
        <v>310</v>
      </c>
      <c r="I3" s="347" t="s">
        <v>311</v>
      </c>
      <c r="J3" s="32">
        <v>25</v>
      </c>
      <c r="K3" s="348" t="s">
        <v>312</v>
      </c>
      <c r="L3" s="40" t="s">
        <v>676</v>
      </c>
      <c r="M3" s="40" t="s">
        <v>677</v>
      </c>
      <c r="N3" s="349" t="s">
        <v>11</v>
      </c>
      <c r="O3" s="350">
        <v>19</v>
      </c>
      <c r="P3" s="39" t="s">
        <v>12</v>
      </c>
      <c r="Q3" s="32">
        <v>1906</v>
      </c>
      <c r="R3" s="351">
        <v>1906004</v>
      </c>
      <c r="S3" s="352" t="s">
        <v>13</v>
      </c>
      <c r="T3" s="353" t="s">
        <v>314</v>
      </c>
      <c r="U3" s="351" t="s">
        <v>315</v>
      </c>
      <c r="V3" s="354" t="s">
        <v>14</v>
      </c>
      <c r="W3" s="355" t="s">
        <v>316</v>
      </c>
      <c r="X3" s="355"/>
      <c r="Y3" s="355"/>
      <c r="Z3" s="355"/>
      <c r="AA3" s="355"/>
      <c r="AB3" s="356">
        <f>BE3</f>
        <v>57366892935.080002</v>
      </c>
      <c r="AC3" s="355"/>
      <c r="AD3" s="355"/>
      <c r="AE3" s="355"/>
      <c r="AF3" s="355"/>
      <c r="AG3" s="355"/>
      <c r="AH3" s="356">
        <f t="shared" ref="AH3:AH59" si="0">SUM(X3:AG3)</f>
        <v>57366892935.080002</v>
      </c>
      <c r="AI3" s="357" t="s">
        <v>120</v>
      </c>
      <c r="AJ3" s="80">
        <v>63890</v>
      </c>
      <c r="AK3" s="80">
        <v>65890</v>
      </c>
      <c r="AL3" s="80">
        <v>64390</v>
      </c>
      <c r="AM3" s="80">
        <v>64890</v>
      </c>
      <c r="AN3" s="80">
        <v>65390</v>
      </c>
      <c r="AO3" s="358">
        <v>65890</v>
      </c>
      <c r="AP3" s="33">
        <f t="shared" ref="AP3:AP59" si="1">AR3+AS3+AT3+AU3</f>
        <v>12</v>
      </c>
      <c r="AQ3" s="359" t="s">
        <v>316</v>
      </c>
      <c r="AR3" s="25">
        <v>3</v>
      </c>
      <c r="AS3" s="25">
        <v>3</v>
      </c>
      <c r="AT3" s="25">
        <v>3</v>
      </c>
      <c r="AU3" s="25">
        <v>3</v>
      </c>
      <c r="AV3" s="39" t="s">
        <v>678</v>
      </c>
      <c r="AW3" s="39" t="s">
        <v>679</v>
      </c>
      <c r="AX3" s="39" t="s">
        <v>690</v>
      </c>
      <c r="AY3" s="25">
        <v>397</v>
      </c>
      <c r="AZ3" s="39" t="s">
        <v>681</v>
      </c>
      <c r="BA3" s="40" t="s">
        <v>13</v>
      </c>
      <c r="BB3" s="360" t="s">
        <v>691</v>
      </c>
      <c r="BC3" s="40" t="s">
        <v>692</v>
      </c>
      <c r="BD3" s="40" t="s">
        <v>693</v>
      </c>
      <c r="BE3" s="362">
        <v>57366892935.080002</v>
      </c>
      <c r="BF3" s="363" t="s">
        <v>685</v>
      </c>
      <c r="BG3" s="364" t="s">
        <v>686</v>
      </c>
      <c r="BH3" s="365" t="s">
        <v>154</v>
      </c>
      <c r="BI3" s="365" t="s">
        <v>687</v>
      </c>
      <c r="BJ3" s="26" t="s">
        <v>688</v>
      </c>
      <c r="BK3" s="26" t="s">
        <v>689</v>
      </c>
      <c r="BL3" s="359">
        <v>0</v>
      </c>
      <c r="BM3" s="359">
        <v>2</v>
      </c>
      <c r="BN3" s="359">
        <v>1</v>
      </c>
      <c r="BO3" s="366">
        <f t="shared" ref="BO3:BO66" si="2">SUM(BL3:BN3)</f>
        <v>3</v>
      </c>
      <c r="BP3" s="367">
        <f t="shared" ref="BP3:BP66" si="3">BO3/AP3</f>
        <v>0.25</v>
      </c>
      <c r="BQ3" s="359">
        <v>1</v>
      </c>
      <c r="BR3" s="359">
        <v>1</v>
      </c>
      <c r="BS3" s="359">
        <v>1</v>
      </c>
      <c r="BT3" s="366">
        <f t="shared" ref="BT3:BT66" si="4">SUM(BQ3:BS3)</f>
        <v>3</v>
      </c>
      <c r="BU3" s="367">
        <f t="shared" ref="BU3:BU66" si="5">BT3/AP3</f>
        <v>0.25</v>
      </c>
      <c r="BV3" s="359">
        <v>1</v>
      </c>
      <c r="BW3" s="359">
        <v>1</v>
      </c>
      <c r="BX3" s="359">
        <v>1</v>
      </c>
      <c r="BY3" s="366">
        <f t="shared" ref="BY3:BY66" si="6">SUM(BV3:BX3)</f>
        <v>3</v>
      </c>
      <c r="BZ3" s="367">
        <f t="shared" ref="BZ3:BZ66" si="7">BY3/AP3</f>
        <v>0.25</v>
      </c>
      <c r="CA3" s="359">
        <v>0</v>
      </c>
      <c r="CB3" s="359">
        <v>0</v>
      </c>
      <c r="CC3" s="359">
        <v>0</v>
      </c>
      <c r="CD3" s="366">
        <f t="shared" ref="CD3:CD66" si="8">SUM(CA3:CC3)</f>
        <v>0</v>
      </c>
      <c r="CE3" s="367">
        <f t="shared" ref="CE3:CE66" si="9">CD3/AU3</f>
        <v>0</v>
      </c>
      <c r="CF3" s="368">
        <f t="shared" ref="CF3:CF66" si="10">BO3+BT3+BY3+CD3</f>
        <v>9</v>
      </c>
      <c r="CG3" s="359">
        <f t="shared" ref="CG3:CG59" si="11">CF3/AP3</f>
        <v>0.75</v>
      </c>
      <c r="CH3" s="369"/>
      <c r="CI3" s="369"/>
      <c r="CJ3" s="370">
        <v>0</v>
      </c>
      <c r="CK3" s="371">
        <v>14002263223.969999</v>
      </c>
      <c r="CL3" s="372">
        <v>2507532604.2900009</v>
      </c>
      <c r="CM3" s="373">
        <v>16509795828.26</v>
      </c>
      <c r="CN3" s="374">
        <f t="shared" ref="CN3:CN66" si="12">SUM(CJ3:CL3)</f>
        <v>16509795828.26</v>
      </c>
      <c r="CO3" s="370">
        <f t="shared" ref="CO3:CO59" si="13">CN3/BE3</f>
        <v>0.28779309778801387</v>
      </c>
      <c r="CP3" s="370">
        <v>2245083402.0599999</v>
      </c>
      <c r="CQ3" s="370">
        <v>5460452041.3199997</v>
      </c>
      <c r="CR3" s="370">
        <v>5134348944.4899998</v>
      </c>
      <c r="CS3" s="375">
        <f>SUM(CP3:CR3)</f>
        <v>12839884387.869999</v>
      </c>
      <c r="CT3" s="375">
        <f t="shared" ref="CT3:CT66" si="14">SUM(CP3:CR3)</f>
        <v>12839884387.869999</v>
      </c>
      <c r="CU3" s="370">
        <f t="shared" ref="CU3:CU59" si="15">CT3/BE3</f>
        <v>0.22382046038993994</v>
      </c>
      <c r="CV3" s="370">
        <v>4979238627.8699999</v>
      </c>
      <c r="CW3" s="370">
        <v>5388593694.5799999</v>
      </c>
      <c r="CX3" s="372">
        <v>2205681387.9299998</v>
      </c>
      <c r="CY3" s="374">
        <f>CV3+CW3+CX3</f>
        <v>12573513710.380001</v>
      </c>
      <c r="CZ3" s="375">
        <f t="shared" ref="CZ3:CZ66" si="16">SUM(CV3:CX3)</f>
        <v>12573513710.380001</v>
      </c>
      <c r="DA3" s="370">
        <f t="shared" ref="DA3:DA59" si="17">CZ3/BE3</f>
        <v>0.21917717810879148</v>
      </c>
      <c r="DB3" s="370">
        <v>5529071273.3199997</v>
      </c>
      <c r="DC3" s="370">
        <v>4631502515.7199993</v>
      </c>
      <c r="DD3" s="372">
        <v>4687219407.6199999</v>
      </c>
      <c r="DE3" s="374">
        <f t="shared" ref="DE3:DE5" si="18">DB3+DC3+DD3</f>
        <v>14847793196.66</v>
      </c>
      <c r="DF3" s="375">
        <f t="shared" ref="DF3:DF67" si="19">SUM(DB3:DD3)</f>
        <v>14847793196.66</v>
      </c>
      <c r="DG3" s="370">
        <f t="shared" ref="DG3:DG59" si="20">DF3/BE3</f>
        <v>0.25882163800404356</v>
      </c>
      <c r="DH3" s="376">
        <f t="shared" ref="DH3:DH66" si="21">$CM3+$CS3+$CY3+$DE3</f>
        <v>56770987123.169998</v>
      </c>
      <c r="DI3" s="376">
        <f t="shared" ref="DI3:DI67" si="22">$CN3+$CT3+$CZ3+$DF3</f>
        <v>56770987123.169998</v>
      </c>
      <c r="DJ3" s="370">
        <f t="shared" ref="DJ3:DJ59" si="23">DH3/BE3</f>
        <v>0.98961237429078874</v>
      </c>
      <c r="DK3" s="370"/>
      <c r="DL3" s="377">
        <f t="shared" ref="DL3:DL66" si="24">SUM(DM3:DP3)</f>
        <v>56770987123.169998</v>
      </c>
      <c r="DM3" s="370">
        <f t="shared" ref="DM3:DM66" si="25">CM3</f>
        <v>16509795828.26</v>
      </c>
      <c r="DN3" s="370">
        <f t="shared" ref="DN3:DN66" si="26">CS3</f>
        <v>12839884387.869999</v>
      </c>
      <c r="DO3" s="370">
        <f t="shared" ref="DO3:DO66" si="27">CY3</f>
        <v>12573513710.380001</v>
      </c>
      <c r="DP3" s="370">
        <f t="shared" ref="DP3:DP66" si="28">DE3</f>
        <v>14847793196.66</v>
      </c>
      <c r="DQ3" s="378">
        <f t="shared" ref="DQ3:DQ66" si="29">SUM(DR3:DU3)</f>
        <v>56770987123.169998</v>
      </c>
      <c r="DR3" s="370">
        <f t="shared" ref="DR3:DR66" si="30">CN3</f>
        <v>16509795828.26</v>
      </c>
      <c r="DS3" s="370">
        <f t="shared" ref="DS3:DS66" si="31">CT3</f>
        <v>12839884387.869999</v>
      </c>
      <c r="DT3" s="370">
        <f t="shared" ref="DT3:DT66" si="32">CZ3</f>
        <v>12573513710.380001</v>
      </c>
      <c r="DU3" s="370">
        <f t="shared" ref="DU3:DU66" si="33">DF3</f>
        <v>14847793196.66</v>
      </c>
      <c r="DW3" s="379">
        <v>0</v>
      </c>
      <c r="DX3" s="379">
        <v>0</v>
      </c>
      <c r="DY3" s="380">
        <v>0</v>
      </c>
      <c r="DZ3" s="381"/>
      <c r="EA3" s="617">
        <v>64693848545.529999</v>
      </c>
      <c r="EB3" s="608"/>
    </row>
    <row r="4" spans="1:133" ht="171.75" hidden="1" customHeight="1">
      <c r="A4" s="80">
        <v>1</v>
      </c>
      <c r="B4" s="346" t="s">
        <v>6</v>
      </c>
      <c r="C4" s="82" t="s">
        <v>304</v>
      </c>
      <c r="D4" s="82" t="s">
        <v>305</v>
      </c>
      <c r="E4" s="346" t="s">
        <v>114</v>
      </c>
      <c r="F4" s="40" t="s">
        <v>306</v>
      </c>
      <c r="G4" s="346" t="s">
        <v>307</v>
      </c>
      <c r="H4" s="347" t="s">
        <v>310</v>
      </c>
      <c r="I4" s="347" t="s">
        <v>311</v>
      </c>
      <c r="J4" s="32">
        <v>25</v>
      </c>
      <c r="K4" s="348" t="s">
        <v>312</v>
      </c>
      <c r="L4" s="40" t="s">
        <v>676</v>
      </c>
      <c r="M4" s="40" t="s">
        <v>677</v>
      </c>
      <c r="N4" s="349" t="s">
        <v>11</v>
      </c>
      <c r="O4" s="350">
        <v>19</v>
      </c>
      <c r="P4" s="39" t="s">
        <v>12</v>
      </c>
      <c r="Q4" s="32">
        <v>1906</v>
      </c>
      <c r="R4" s="351">
        <v>1906004</v>
      </c>
      <c r="S4" s="352" t="s">
        <v>13</v>
      </c>
      <c r="T4" s="353" t="s">
        <v>314</v>
      </c>
      <c r="U4" s="351" t="s">
        <v>315</v>
      </c>
      <c r="V4" s="354" t="s">
        <v>14</v>
      </c>
      <c r="W4" s="355" t="s">
        <v>316</v>
      </c>
      <c r="X4" s="355"/>
      <c r="Y4" s="355"/>
      <c r="Z4" s="355"/>
      <c r="AA4" s="355"/>
      <c r="AB4" s="355"/>
      <c r="AC4" s="356">
        <f>BE4</f>
        <v>20480994842.119999</v>
      </c>
      <c r="AD4" s="355"/>
      <c r="AE4" s="355"/>
      <c r="AF4" s="355"/>
      <c r="AG4" s="355"/>
      <c r="AH4" s="356">
        <f t="shared" si="0"/>
        <v>20480994842.119999</v>
      </c>
      <c r="AI4" s="357" t="s">
        <v>120</v>
      </c>
      <c r="AJ4" s="80">
        <v>63890</v>
      </c>
      <c r="AK4" s="80">
        <v>65890</v>
      </c>
      <c r="AL4" s="80">
        <v>64390</v>
      </c>
      <c r="AM4" s="80">
        <v>64890</v>
      </c>
      <c r="AN4" s="80">
        <v>65390</v>
      </c>
      <c r="AO4" s="358">
        <v>65890</v>
      </c>
      <c r="AP4" s="33">
        <f t="shared" si="1"/>
        <v>12</v>
      </c>
      <c r="AQ4" s="359" t="s">
        <v>316</v>
      </c>
      <c r="AR4" s="25">
        <v>3</v>
      </c>
      <c r="AS4" s="25">
        <v>3</v>
      </c>
      <c r="AT4" s="25">
        <v>3</v>
      </c>
      <c r="AU4" s="25">
        <v>3</v>
      </c>
      <c r="AV4" s="39" t="s">
        <v>678</v>
      </c>
      <c r="AW4" s="39" t="s">
        <v>679</v>
      </c>
      <c r="AX4" s="39" t="s">
        <v>694</v>
      </c>
      <c r="AY4" s="32" t="s">
        <v>695</v>
      </c>
      <c r="AZ4" s="39" t="s">
        <v>681</v>
      </c>
      <c r="BA4" s="40" t="s">
        <v>13</v>
      </c>
      <c r="BB4" s="360" t="s">
        <v>696</v>
      </c>
      <c r="BC4" s="40" t="s">
        <v>697</v>
      </c>
      <c r="BD4" s="40" t="s">
        <v>698</v>
      </c>
      <c r="BE4" s="362">
        <f>20480994841.12+1</f>
        <v>20480994842.119999</v>
      </c>
      <c r="BF4" s="363" t="s">
        <v>685</v>
      </c>
      <c r="BG4" s="364" t="s">
        <v>686</v>
      </c>
      <c r="BH4" s="365" t="s">
        <v>154</v>
      </c>
      <c r="BI4" s="365" t="s">
        <v>687</v>
      </c>
      <c r="BJ4" s="26" t="s">
        <v>688</v>
      </c>
      <c r="BK4" s="26" t="s">
        <v>689</v>
      </c>
      <c r="BL4" s="359">
        <v>0</v>
      </c>
      <c r="BM4" s="359">
        <v>1</v>
      </c>
      <c r="BN4" s="359">
        <v>2</v>
      </c>
      <c r="BO4" s="366">
        <f t="shared" si="2"/>
        <v>3</v>
      </c>
      <c r="BP4" s="367">
        <f t="shared" si="3"/>
        <v>0.25</v>
      </c>
      <c r="BQ4" s="359">
        <v>1</v>
      </c>
      <c r="BR4" s="359">
        <v>1</v>
      </c>
      <c r="BS4" s="359">
        <v>1</v>
      </c>
      <c r="BT4" s="366">
        <f t="shared" si="4"/>
        <v>3</v>
      </c>
      <c r="BU4" s="367">
        <f t="shared" si="5"/>
        <v>0.25</v>
      </c>
      <c r="BV4" s="359">
        <v>1</v>
      </c>
      <c r="BW4" s="359">
        <v>1</v>
      </c>
      <c r="BX4" s="359">
        <v>1</v>
      </c>
      <c r="BY4" s="366">
        <f t="shared" si="6"/>
        <v>3</v>
      </c>
      <c r="BZ4" s="367">
        <f t="shared" si="7"/>
        <v>0.25</v>
      </c>
      <c r="CA4" s="359">
        <v>0</v>
      </c>
      <c r="CB4" s="359">
        <v>0</v>
      </c>
      <c r="CC4" s="359">
        <v>0</v>
      </c>
      <c r="CD4" s="366">
        <f t="shared" si="8"/>
        <v>0</v>
      </c>
      <c r="CE4" s="367">
        <f t="shared" si="9"/>
        <v>0</v>
      </c>
      <c r="CF4" s="368">
        <f t="shared" si="10"/>
        <v>9</v>
      </c>
      <c r="CG4" s="359">
        <f t="shared" si="11"/>
        <v>0.75</v>
      </c>
      <c r="CH4" s="369"/>
      <c r="CI4" s="369"/>
      <c r="CJ4" s="370">
        <v>0</v>
      </c>
      <c r="CK4" s="371">
        <v>1124399577.8</v>
      </c>
      <c r="CL4" s="372">
        <v>1543150275.01</v>
      </c>
      <c r="CM4" s="373">
        <v>2667549852.8099999</v>
      </c>
      <c r="CN4" s="374">
        <f t="shared" si="12"/>
        <v>2667549852.8099999</v>
      </c>
      <c r="CO4" s="370">
        <f t="shared" si="13"/>
        <v>0.13024513083339465</v>
      </c>
      <c r="CP4" s="370">
        <v>4266218549.3800063</v>
      </c>
      <c r="CQ4" s="370">
        <v>1004757734</v>
      </c>
      <c r="CR4" s="372">
        <v>1381407200.3900001</v>
      </c>
      <c r="CS4" s="375">
        <f>SUM(CP4:CR4)</f>
        <v>6652383483.7700071</v>
      </c>
      <c r="CT4" s="375">
        <f t="shared" si="14"/>
        <v>6652383483.7700071</v>
      </c>
      <c r="CU4" s="370">
        <f t="shared" si="15"/>
        <v>0.3248076343483623</v>
      </c>
      <c r="CV4" s="370">
        <v>1530933232.3800001</v>
      </c>
      <c r="CW4" s="370">
        <v>770502837.25</v>
      </c>
      <c r="CX4" s="372">
        <v>4252929594.9400001</v>
      </c>
      <c r="CY4" s="374">
        <f>CV4+CW4+CX4</f>
        <v>6554365664.5699997</v>
      </c>
      <c r="CZ4" s="375">
        <f t="shared" si="16"/>
        <v>6554365664.5699997</v>
      </c>
      <c r="DA4" s="370">
        <f t="shared" si="17"/>
        <v>0.32002184049627708</v>
      </c>
      <c r="DB4" s="370">
        <v>867139136.68000007</v>
      </c>
      <c r="DC4" s="370">
        <v>1804066043.6199999</v>
      </c>
      <c r="DD4" s="372">
        <v>1738741388.3400002</v>
      </c>
      <c r="DE4" s="374">
        <f t="shared" si="18"/>
        <v>4409946568.6400003</v>
      </c>
      <c r="DF4" s="375">
        <f t="shared" si="19"/>
        <v>4409946568.6400003</v>
      </c>
      <c r="DG4" s="370">
        <f t="shared" si="20"/>
        <v>0.2153189629036362</v>
      </c>
      <c r="DH4" s="376">
        <f>$CM4+$CS4+$CY4+$DE4</f>
        <v>20284245569.790009</v>
      </c>
      <c r="DI4" s="376">
        <f t="shared" si="22"/>
        <v>20284245569.790009</v>
      </c>
      <c r="DJ4" s="370">
        <f t="shared" si="23"/>
        <v>0.99039356858167027</v>
      </c>
      <c r="DK4" s="370"/>
      <c r="DL4" s="377">
        <f t="shared" si="24"/>
        <v>20284245569.790009</v>
      </c>
      <c r="DM4" s="370">
        <f t="shared" si="25"/>
        <v>2667549852.8099999</v>
      </c>
      <c r="DN4" s="370">
        <f t="shared" si="26"/>
        <v>6652383483.7700071</v>
      </c>
      <c r="DO4" s="370">
        <f t="shared" si="27"/>
        <v>6554365664.5699997</v>
      </c>
      <c r="DP4" s="370">
        <f t="shared" si="28"/>
        <v>4409946568.6400003</v>
      </c>
      <c r="DQ4" s="378">
        <f t="shared" si="29"/>
        <v>20284245569.790009</v>
      </c>
      <c r="DR4" s="370">
        <f t="shared" si="30"/>
        <v>2667549852.8099999</v>
      </c>
      <c r="DS4" s="370">
        <f t="shared" si="31"/>
        <v>6652383483.7700071</v>
      </c>
      <c r="DT4" s="370">
        <f t="shared" si="32"/>
        <v>6554365664.5699997</v>
      </c>
      <c r="DU4" s="370">
        <f t="shared" si="33"/>
        <v>4409946568.6400003</v>
      </c>
      <c r="DW4" s="379">
        <v>0</v>
      </c>
      <c r="DX4" s="380">
        <v>0</v>
      </c>
      <c r="DY4" s="380">
        <v>0</v>
      </c>
      <c r="DZ4" s="381"/>
      <c r="EA4" s="382">
        <v>22324284376.820801</v>
      </c>
      <c r="EB4" s="608"/>
    </row>
    <row r="5" spans="1:133" ht="159" hidden="1" customHeight="1">
      <c r="A5" s="80">
        <v>1</v>
      </c>
      <c r="B5" s="346" t="s">
        <v>6</v>
      </c>
      <c r="C5" s="82" t="s">
        <v>304</v>
      </c>
      <c r="D5" s="82" t="s">
        <v>305</v>
      </c>
      <c r="E5" s="346" t="s">
        <v>114</v>
      </c>
      <c r="F5" s="40" t="s">
        <v>306</v>
      </c>
      <c r="G5" s="346" t="s">
        <v>307</v>
      </c>
      <c r="H5" s="347" t="s">
        <v>310</v>
      </c>
      <c r="I5" s="347" t="s">
        <v>311</v>
      </c>
      <c r="J5" s="32">
        <v>25</v>
      </c>
      <c r="K5" s="348" t="s">
        <v>312</v>
      </c>
      <c r="L5" s="40" t="s">
        <v>676</v>
      </c>
      <c r="M5" s="40" t="s">
        <v>677</v>
      </c>
      <c r="N5" s="349" t="s">
        <v>11</v>
      </c>
      <c r="O5" s="350">
        <v>19</v>
      </c>
      <c r="P5" s="39" t="s">
        <v>12</v>
      </c>
      <c r="Q5" s="32">
        <v>1906</v>
      </c>
      <c r="R5" s="351">
        <v>1906004</v>
      </c>
      <c r="S5" s="352" t="s">
        <v>13</v>
      </c>
      <c r="T5" s="353" t="s">
        <v>314</v>
      </c>
      <c r="U5" s="351" t="s">
        <v>315</v>
      </c>
      <c r="V5" s="354" t="s">
        <v>14</v>
      </c>
      <c r="W5" s="355" t="s">
        <v>316</v>
      </c>
      <c r="X5" s="355"/>
      <c r="Y5" s="355"/>
      <c r="Z5" s="355"/>
      <c r="AA5" s="355"/>
      <c r="AB5" s="355"/>
      <c r="AC5" s="355"/>
      <c r="AD5" s="356">
        <f>BE5</f>
        <v>1474947391.8099999</v>
      </c>
      <c r="AE5" s="355"/>
      <c r="AF5" s="355"/>
      <c r="AG5" s="355"/>
      <c r="AH5" s="356">
        <f t="shared" si="0"/>
        <v>1474947391.8099999</v>
      </c>
      <c r="AI5" s="357" t="s">
        <v>120</v>
      </c>
      <c r="AJ5" s="80">
        <v>63890</v>
      </c>
      <c r="AK5" s="80">
        <v>65890</v>
      </c>
      <c r="AL5" s="80">
        <v>64390</v>
      </c>
      <c r="AM5" s="80">
        <v>64890</v>
      </c>
      <c r="AN5" s="80">
        <v>65390</v>
      </c>
      <c r="AO5" s="358">
        <v>65890</v>
      </c>
      <c r="AP5" s="33">
        <f t="shared" si="1"/>
        <v>12</v>
      </c>
      <c r="AQ5" s="359" t="s">
        <v>316</v>
      </c>
      <c r="AR5" s="25">
        <v>3</v>
      </c>
      <c r="AS5" s="25">
        <v>3</v>
      </c>
      <c r="AT5" s="25">
        <v>3</v>
      </c>
      <c r="AU5" s="25">
        <v>3</v>
      </c>
      <c r="AV5" s="39" t="s">
        <v>678</v>
      </c>
      <c r="AW5" s="39" t="s">
        <v>679</v>
      </c>
      <c r="AX5" s="39" t="s">
        <v>699</v>
      </c>
      <c r="AY5" s="32" t="s">
        <v>700</v>
      </c>
      <c r="AZ5" s="39" t="s">
        <v>681</v>
      </c>
      <c r="BA5" s="40" t="s">
        <v>13</v>
      </c>
      <c r="BB5" s="360" t="s">
        <v>701</v>
      </c>
      <c r="BC5" s="361" t="s">
        <v>702</v>
      </c>
      <c r="BD5" s="40" t="s">
        <v>703</v>
      </c>
      <c r="BE5" s="362">
        <f>1474947391.8+0.01</f>
        <v>1474947391.8099999</v>
      </c>
      <c r="BF5" s="363" t="s">
        <v>685</v>
      </c>
      <c r="BG5" s="364" t="s">
        <v>686</v>
      </c>
      <c r="BH5" s="365" t="s">
        <v>154</v>
      </c>
      <c r="BI5" s="365" t="s">
        <v>687</v>
      </c>
      <c r="BJ5" s="26" t="s">
        <v>688</v>
      </c>
      <c r="BK5" s="26" t="s">
        <v>689</v>
      </c>
      <c r="BL5" s="359">
        <v>0</v>
      </c>
      <c r="BM5" s="359">
        <v>2</v>
      </c>
      <c r="BN5" s="359">
        <v>1</v>
      </c>
      <c r="BO5" s="366">
        <f t="shared" si="2"/>
        <v>3</v>
      </c>
      <c r="BP5" s="367">
        <f t="shared" si="3"/>
        <v>0.25</v>
      </c>
      <c r="BQ5" s="359">
        <v>1</v>
      </c>
      <c r="BR5" s="359">
        <v>1</v>
      </c>
      <c r="BS5" s="359">
        <v>1</v>
      </c>
      <c r="BT5" s="366">
        <f t="shared" si="4"/>
        <v>3</v>
      </c>
      <c r="BU5" s="367">
        <f t="shared" si="5"/>
        <v>0.25</v>
      </c>
      <c r="BV5" s="359">
        <v>1</v>
      </c>
      <c r="BW5" s="359">
        <v>1</v>
      </c>
      <c r="BX5" s="359">
        <v>1</v>
      </c>
      <c r="BY5" s="366">
        <f t="shared" si="6"/>
        <v>3</v>
      </c>
      <c r="BZ5" s="367">
        <f t="shared" si="7"/>
        <v>0.25</v>
      </c>
      <c r="CA5" s="359">
        <v>0</v>
      </c>
      <c r="CB5" s="359">
        <v>0</v>
      </c>
      <c r="CC5" s="359">
        <v>0</v>
      </c>
      <c r="CD5" s="366">
        <f t="shared" si="8"/>
        <v>0</v>
      </c>
      <c r="CE5" s="367">
        <f t="shared" si="9"/>
        <v>0</v>
      </c>
      <c r="CF5" s="368">
        <f t="shared" si="10"/>
        <v>9</v>
      </c>
      <c r="CG5" s="359">
        <f t="shared" si="11"/>
        <v>0.75</v>
      </c>
      <c r="CH5" s="369"/>
      <c r="CI5" s="369"/>
      <c r="CJ5" s="370">
        <v>0</v>
      </c>
      <c r="CK5" s="371">
        <v>425475285</v>
      </c>
      <c r="CL5" s="372">
        <v>82383237.00999999</v>
      </c>
      <c r="CM5" s="373">
        <v>507858522.00999999</v>
      </c>
      <c r="CN5" s="374">
        <f t="shared" si="12"/>
        <v>507858522.00999999</v>
      </c>
      <c r="CO5" s="370">
        <f t="shared" si="13"/>
        <v>0.3443231432049757</v>
      </c>
      <c r="CP5" s="370">
        <v>75535797.999997258</v>
      </c>
      <c r="CQ5" s="370">
        <v>71394784.00999999</v>
      </c>
      <c r="CR5" s="370">
        <v>76801515</v>
      </c>
      <c r="CS5" s="375">
        <f>SUM(CP5:CR5)</f>
        <v>223732097.00999725</v>
      </c>
      <c r="CT5" s="375">
        <f t="shared" si="14"/>
        <v>223732097.00999725</v>
      </c>
      <c r="CU5" s="370">
        <f t="shared" si="15"/>
        <v>0.15168818783118876</v>
      </c>
      <c r="CV5" s="370">
        <v>70319296.989999995</v>
      </c>
      <c r="CW5" s="370">
        <v>371889771</v>
      </c>
      <c r="CX5" s="372">
        <v>71957571.99000001</v>
      </c>
      <c r="CY5" s="374">
        <f>CV5+CW5+CX5</f>
        <v>514166639.98000002</v>
      </c>
      <c r="CZ5" s="375">
        <f t="shared" si="16"/>
        <v>514166639.98000002</v>
      </c>
      <c r="DA5" s="370">
        <f t="shared" si="17"/>
        <v>0.34859998589443525</v>
      </c>
      <c r="DB5" s="370">
        <v>80451486.989999995</v>
      </c>
      <c r="DC5" s="370">
        <v>72682260</v>
      </c>
      <c r="DD5" s="372">
        <v>74435309.010000005</v>
      </c>
      <c r="DE5" s="374">
        <f t="shared" si="18"/>
        <v>227569056</v>
      </c>
      <c r="DF5" s="375">
        <f t="shared" si="19"/>
        <v>227569056</v>
      </c>
      <c r="DG5" s="370">
        <f t="shared" si="20"/>
        <v>0.15428960874376396</v>
      </c>
      <c r="DH5" s="376">
        <f t="shared" si="21"/>
        <v>1473326314.9999971</v>
      </c>
      <c r="DI5" s="376">
        <f t="shared" si="22"/>
        <v>1473326314.9999971</v>
      </c>
      <c r="DJ5" s="370">
        <f t="shared" si="23"/>
        <v>0.9989009256743635</v>
      </c>
      <c r="DK5" s="370"/>
      <c r="DL5" s="377">
        <f t="shared" si="24"/>
        <v>1473326314.9999971</v>
      </c>
      <c r="DM5" s="370">
        <f t="shared" si="25"/>
        <v>507858522.00999999</v>
      </c>
      <c r="DN5" s="370">
        <f t="shared" si="26"/>
        <v>223732097.00999725</v>
      </c>
      <c r="DO5" s="370">
        <f t="shared" si="27"/>
        <v>514166639.98000002</v>
      </c>
      <c r="DP5" s="370">
        <f t="shared" si="28"/>
        <v>227569056</v>
      </c>
      <c r="DQ5" s="378">
        <f t="shared" si="29"/>
        <v>1473326314.9999971</v>
      </c>
      <c r="DR5" s="370">
        <f t="shared" si="30"/>
        <v>507858522.00999999</v>
      </c>
      <c r="DS5" s="370">
        <f t="shared" si="31"/>
        <v>223732097.00999725</v>
      </c>
      <c r="DT5" s="370">
        <f t="shared" si="32"/>
        <v>514166639.98000002</v>
      </c>
      <c r="DU5" s="370">
        <f t="shared" si="33"/>
        <v>227569056</v>
      </c>
      <c r="DW5" s="379">
        <v>0</v>
      </c>
      <c r="DX5" s="379">
        <v>0</v>
      </c>
      <c r="DY5" s="380">
        <v>0</v>
      </c>
      <c r="DZ5" s="381"/>
      <c r="EA5" s="382">
        <v>1432858105.4431</v>
      </c>
      <c r="EB5" s="608"/>
    </row>
    <row r="6" spans="1:133" ht="96.75" hidden="1" customHeight="1">
      <c r="A6" s="80">
        <v>1</v>
      </c>
      <c r="B6" s="346" t="s">
        <v>6</v>
      </c>
      <c r="C6" s="82" t="s">
        <v>304</v>
      </c>
      <c r="D6" s="82" t="s">
        <v>305</v>
      </c>
      <c r="E6" s="346" t="s">
        <v>114</v>
      </c>
      <c r="F6" s="40" t="s">
        <v>306</v>
      </c>
      <c r="G6" s="346" t="s">
        <v>307</v>
      </c>
      <c r="H6" s="347" t="s">
        <v>310</v>
      </c>
      <c r="I6" s="347" t="s">
        <v>311</v>
      </c>
      <c r="J6" s="32">
        <v>26</v>
      </c>
      <c r="K6" s="348" t="s">
        <v>704</v>
      </c>
      <c r="L6" s="40" t="s">
        <v>705</v>
      </c>
      <c r="M6" s="40" t="s">
        <v>677</v>
      </c>
      <c r="N6" s="349" t="s">
        <v>11</v>
      </c>
      <c r="O6" s="350">
        <v>19</v>
      </c>
      <c r="P6" s="39" t="s">
        <v>12</v>
      </c>
      <c r="Q6" s="32">
        <v>1906</v>
      </c>
      <c r="R6" s="351">
        <v>1906004</v>
      </c>
      <c r="S6" s="352" t="s">
        <v>13</v>
      </c>
      <c r="T6" s="383" t="s">
        <v>314</v>
      </c>
      <c r="U6" s="351">
        <v>190600401</v>
      </c>
      <c r="V6" s="354" t="s">
        <v>17</v>
      </c>
      <c r="W6" s="355" t="s">
        <v>316</v>
      </c>
      <c r="X6" s="671"/>
      <c r="Y6" s="671"/>
      <c r="Z6" s="355"/>
      <c r="AA6" s="355"/>
      <c r="AB6" s="355"/>
      <c r="AC6" s="384">
        <f>BE6</f>
        <v>3307200</v>
      </c>
      <c r="AD6" s="355"/>
      <c r="AE6" s="385"/>
      <c r="AF6" s="355"/>
      <c r="AG6" s="355"/>
      <c r="AH6" s="356">
        <f t="shared" si="0"/>
        <v>3307200</v>
      </c>
      <c r="AI6" s="357" t="s">
        <v>706</v>
      </c>
      <c r="AJ6" s="80">
        <v>632</v>
      </c>
      <c r="AK6" s="80">
        <v>500</v>
      </c>
      <c r="AL6" s="80">
        <v>500</v>
      </c>
      <c r="AM6" s="80">
        <v>500</v>
      </c>
      <c r="AN6" s="80">
        <v>500</v>
      </c>
      <c r="AO6" s="386">
        <v>350</v>
      </c>
      <c r="AP6" s="33">
        <f t="shared" si="1"/>
        <v>100</v>
      </c>
      <c r="AQ6" s="359" t="s">
        <v>707</v>
      </c>
      <c r="AR6" s="25">
        <v>0</v>
      </c>
      <c r="AS6" s="25">
        <v>10</v>
      </c>
      <c r="AT6" s="25">
        <v>45</v>
      </c>
      <c r="AU6" s="25">
        <v>45</v>
      </c>
      <c r="AV6" s="39" t="s">
        <v>678</v>
      </c>
      <c r="AW6" s="39" t="s">
        <v>679</v>
      </c>
      <c r="AX6" s="39" t="s">
        <v>708</v>
      </c>
      <c r="AY6" s="25">
        <v>402</v>
      </c>
      <c r="AZ6" s="39" t="s">
        <v>681</v>
      </c>
      <c r="BA6" s="40" t="s">
        <v>13</v>
      </c>
      <c r="BB6" s="360" t="s">
        <v>709</v>
      </c>
      <c r="BC6" s="361" t="s">
        <v>710</v>
      </c>
      <c r="BD6" s="40" t="s">
        <v>698</v>
      </c>
      <c r="BE6" s="387">
        <v>3307200</v>
      </c>
      <c r="BF6" s="363" t="s">
        <v>685</v>
      </c>
      <c r="BG6" s="364" t="s">
        <v>686</v>
      </c>
      <c r="BH6" s="365" t="s">
        <v>154</v>
      </c>
      <c r="BI6" s="365" t="s">
        <v>687</v>
      </c>
      <c r="BJ6" s="26" t="s">
        <v>688</v>
      </c>
      <c r="BK6" s="26" t="s">
        <v>689</v>
      </c>
      <c r="BL6" s="359">
        <v>0</v>
      </c>
      <c r="BM6" s="359">
        <v>0</v>
      </c>
      <c r="BN6" s="359">
        <v>0</v>
      </c>
      <c r="BO6" s="366">
        <f t="shared" si="2"/>
        <v>0</v>
      </c>
      <c r="BP6" s="367">
        <f t="shared" si="3"/>
        <v>0</v>
      </c>
      <c r="BQ6" s="359">
        <v>0</v>
      </c>
      <c r="BR6" s="359">
        <v>0</v>
      </c>
      <c r="BS6" s="359">
        <v>0</v>
      </c>
      <c r="BT6" s="366">
        <f t="shared" si="4"/>
        <v>0</v>
      </c>
      <c r="BU6" s="367">
        <f t="shared" si="5"/>
        <v>0</v>
      </c>
      <c r="BV6" s="359">
        <v>0</v>
      </c>
      <c r="BW6" s="359">
        <v>0</v>
      </c>
      <c r="BX6" s="359">
        <v>0</v>
      </c>
      <c r="BY6" s="366">
        <f t="shared" si="6"/>
        <v>0</v>
      </c>
      <c r="BZ6" s="367">
        <f t="shared" si="7"/>
        <v>0</v>
      </c>
      <c r="CA6" s="359">
        <v>0</v>
      </c>
      <c r="CB6" s="359">
        <v>0</v>
      </c>
      <c r="CC6" s="359">
        <v>0</v>
      </c>
      <c r="CD6" s="366">
        <f t="shared" si="8"/>
        <v>0</v>
      </c>
      <c r="CE6" s="367">
        <f t="shared" si="9"/>
        <v>0</v>
      </c>
      <c r="CF6" s="368">
        <f t="shared" si="10"/>
        <v>0</v>
      </c>
      <c r="CG6" s="359">
        <f t="shared" si="11"/>
        <v>0</v>
      </c>
      <c r="CH6" s="369"/>
      <c r="CI6" s="369"/>
      <c r="CJ6" s="370">
        <v>0</v>
      </c>
      <c r="CK6" s="370">
        <v>0</v>
      </c>
      <c r="CL6" s="372">
        <v>0</v>
      </c>
      <c r="CM6" s="374">
        <v>0</v>
      </c>
      <c r="CN6" s="374">
        <f t="shared" si="12"/>
        <v>0</v>
      </c>
      <c r="CO6" s="370">
        <f t="shared" si="13"/>
        <v>0</v>
      </c>
      <c r="CP6" s="370">
        <v>0</v>
      </c>
      <c r="CQ6" s="370">
        <v>0</v>
      </c>
      <c r="CR6" s="372">
        <v>0</v>
      </c>
      <c r="CS6" s="374">
        <v>0</v>
      </c>
      <c r="CT6" s="375">
        <f t="shared" si="14"/>
        <v>0</v>
      </c>
      <c r="CU6" s="370">
        <f t="shared" si="15"/>
        <v>0</v>
      </c>
      <c r="CV6" s="370">
        <v>0</v>
      </c>
      <c r="CW6" s="370">
        <v>0</v>
      </c>
      <c r="CX6" s="372">
        <v>0</v>
      </c>
      <c r="CY6" s="374">
        <v>0</v>
      </c>
      <c r="CZ6" s="375">
        <f t="shared" si="16"/>
        <v>0</v>
      </c>
      <c r="DA6" s="370">
        <f t="shared" si="17"/>
        <v>0</v>
      </c>
      <c r="DB6" s="370">
        <v>0</v>
      </c>
      <c r="DC6" s="370">
        <v>0</v>
      </c>
      <c r="DD6" s="372">
        <v>3307200</v>
      </c>
      <c r="DE6" s="374">
        <v>0</v>
      </c>
      <c r="DF6" s="375">
        <f t="shared" si="19"/>
        <v>3307200</v>
      </c>
      <c r="DG6" s="370">
        <f t="shared" si="20"/>
        <v>1</v>
      </c>
      <c r="DH6" s="376">
        <f t="shared" si="21"/>
        <v>0</v>
      </c>
      <c r="DI6" s="376">
        <f t="shared" si="22"/>
        <v>3307200</v>
      </c>
      <c r="DJ6" s="370">
        <f t="shared" si="23"/>
        <v>0</v>
      </c>
      <c r="DK6" s="370"/>
      <c r="DL6" s="377">
        <f t="shared" si="24"/>
        <v>0</v>
      </c>
      <c r="DM6" s="370">
        <f t="shared" si="25"/>
        <v>0</v>
      </c>
      <c r="DN6" s="370">
        <f t="shared" si="26"/>
        <v>0</v>
      </c>
      <c r="DO6" s="370">
        <f t="shared" si="27"/>
        <v>0</v>
      </c>
      <c r="DP6" s="370">
        <f t="shared" si="28"/>
        <v>0</v>
      </c>
      <c r="DQ6" s="378">
        <f t="shared" si="29"/>
        <v>3307200</v>
      </c>
      <c r="DR6" s="370">
        <f t="shared" si="30"/>
        <v>0</v>
      </c>
      <c r="DS6" s="370">
        <f t="shared" si="31"/>
        <v>0</v>
      </c>
      <c r="DT6" s="370">
        <f t="shared" si="32"/>
        <v>0</v>
      </c>
      <c r="DU6" s="370">
        <f t="shared" si="33"/>
        <v>3307200</v>
      </c>
      <c r="DW6" s="300">
        <v>0</v>
      </c>
      <c r="DX6" s="300">
        <v>0</v>
      </c>
      <c r="DY6" s="300">
        <v>0</v>
      </c>
      <c r="DZ6" s="381">
        <f t="shared" ref="DZ6:DZ69" si="34">BE6*9%</f>
        <v>297648</v>
      </c>
      <c r="EA6" s="382">
        <f t="shared" ref="EA6:EA69" si="35">BE6+DZ6</f>
        <v>3604848</v>
      </c>
      <c r="EB6" s="608"/>
    </row>
    <row r="7" spans="1:133" ht="85.5" hidden="1" customHeight="1">
      <c r="A7" s="80">
        <v>1</v>
      </c>
      <c r="B7" s="346" t="s">
        <v>6</v>
      </c>
      <c r="C7" s="82" t="s">
        <v>304</v>
      </c>
      <c r="D7" s="82" t="s">
        <v>305</v>
      </c>
      <c r="E7" s="346" t="s">
        <v>114</v>
      </c>
      <c r="F7" s="40" t="s">
        <v>306</v>
      </c>
      <c r="G7" s="346" t="s">
        <v>307</v>
      </c>
      <c r="H7" s="347" t="s">
        <v>310</v>
      </c>
      <c r="I7" s="347" t="s">
        <v>311</v>
      </c>
      <c r="J7" s="32">
        <v>26</v>
      </c>
      <c r="K7" s="348" t="s">
        <v>704</v>
      </c>
      <c r="L7" s="40" t="s">
        <v>705</v>
      </c>
      <c r="M7" s="40" t="s">
        <v>677</v>
      </c>
      <c r="N7" s="349" t="s">
        <v>11</v>
      </c>
      <c r="O7" s="350">
        <v>19</v>
      </c>
      <c r="P7" s="39" t="s">
        <v>12</v>
      </c>
      <c r="Q7" s="32">
        <v>1906</v>
      </c>
      <c r="R7" s="351">
        <v>1906004</v>
      </c>
      <c r="S7" s="352" t="s">
        <v>13</v>
      </c>
      <c r="T7" s="383" t="s">
        <v>314</v>
      </c>
      <c r="U7" s="351">
        <v>190600401</v>
      </c>
      <c r="V7" s="354" t="s">
        <v>17</v>
      </c>
      <c r="W7" s="355" t="s">
        <v>316</v>
      </c>
      <c r="X7" s="672"/>
      <c r="Y7" s="672"/>
      <c r="Z7" s="355"/>
      <c r="AA7" s="355"/>
      <c r="AB7" s="355"/>
      <c r="AC7" s="388">
        <f>BE7</f>
        <v>7454207.8600000003</v>
      </c>
      <c r="AD7" s="355"/>
      <c r="AE7" s="355"/>
      <c r="AF7" s="355"/>
      <c r="AG7" s="355"/>
      <c r="AH7" s="356">
        <f t="shared" si="0"/>
        <v>7454207.8600000003</v>
      </c>
      <c r="AI7" s="357" t="s">
        <v>711</v>
      </c>
      <c r="AJ7" s="80">
        <v>632</v>
      </c>
      <c r="AK7" s="80">
        <v>500</v>
      </c>
      <c r="AL7" s="80">
        <v>500</v>
      </c>
      <c r="AM7" s="80">
        <v>500</v>
      </c>
      <c r="AN7" s="80">
        <v>500</v>
      </c>
      <c r="AO7" s="386">
        <v>350</v>
      </c>
      <c r="AP7" s="33">
        <f>AR7+AS7+AT7+AU7</f>
        <v>100</v>
      </c>
      <c r="AQ7" s="359" t="s">
        <v>707</v>
      </c>
      <c r="AR7" s="25">
        <v>0</v>
      </c>
      <c r="AS7" s="25">
        <v>10</v>
      </c>
      <c r="AT7" s="25">
        <v>45</v>
      </c>
      <c r="AU7" s="25">
        <v>45</v>
      </c>
      <c r="AV7" s="39" t="s">
        <v>678</v>
      </c>
      <c r="AW7" s="39" t="s">
        <v>679</v>
      </c>
      <c r="AX7" s="39" t="s">
        <v>708</v>
      </c>
      <c r="AY7" s="25">
        <v>402</v>
      </c>
      <c r="AZ7" s="39" t="s">
        <v>681</v>
      </c>
      <c r="BA7" s="40" t="s">
        <v>13</v>
      </c>
      <c r="BB7" s="360" t="s">
        <v>709</v>
      </c>
      <c r="BC7" s="361" t="s">
        <v>710</v>
      </c>
      <c r="BD7" s="40" t="s">
        <v>698</v>
      </c>
      <c r="BE7" s="387">
        <v>7454207.8600000003</v>
      </c>
      <c r="BF7" s="363" t="s">
        <v>685</v>
      </c>
      <c r="BG7" s="364" t="s">
        <v>686</v>
      </c>
      <c r="BH7" s="365" t="s">
        <v>154</v>
      </c>
      <c r="BI7" s="365" t="s">
        <v>687</v>
      </c>
      <c r="BJ7" s="26" t="s">
        <v>688</v>
      </c>
      <c r="BK7" s="26" t="s">
        <v>689</v>
      </c>
      <c r="BL7" s="359">
        <v>0</v>
      </c>
      <c r="BM7" s="359">
        <v>0</v>
      </c>
      <c r="BN7" s="359">
        <v>0</v>
      </c>
      <c r="BO7" s="366">
        <f t="shared" si="2"/>
        <v>0</v>
      </c>
      <c r="BP7" s="367">
        <f t="shared" si="3"/>
        <v>0</v>
      </c>
      <c r="BQ7" s="359">
        <v>0</v>
      </c>
      <c r="BR7" s="359">
        <v>0</v>
      </c>
      <c r="BS7" s="359">
        <v>0</v>
      </c>
      <c r="BT7" s="366">
        <f t="shared" si="4"/>
        <v>0</v>
      </c>
      <c r="BU7" s="367">
        <f t="shared" si="5"/>
        <v>0</v>
      </c>
      <c r="BV7" s="359">
        <v>0</v>
      </c>
      <c r="BW7" s="359">
        <v>0</v>
      </c>
      <c r="BX7" s="359">
        <v>0</v>
      </c>
      <c r="BY7" s="366">
        <f t="shared" si="6"/>
        <v>0</v>
      </c>
      <c r="BZ7" s="367">
        <f t="shared" si="7"/>
        <v>0</v>
      </c>
      <c r="CA7" s="359">
        <v>0</v>
      </c>
      <c r="CB7" s="359">
        <v>0</v>
      </c>
      <c r="CC7" s="359">
        <v>0</v>
      </c>
      <c r="CD7" s="366">
        <f t="shared" si="8"/>
        <v>0</v>
      </c>
      <c r="CE7" s="367">
        <f t="shared" si="9"/>
        <v>0</v>
      </c>
      <c r="CF7" s="368">
        <f t="shared" si="10"/>
        <v>0</v>
      </c>
      <c r="CG7" s="359">
        <f t="shared" si="11"/>
        <v>0</v>
      </c>
      <c r="CH7" s="369"/>
      <c r="CI7" s="369"/>
      <c r="CJ7" s="370">
        <v>0</v>
      </c>
      <c r="CK7" s="370">
        <v>0</v>
      </c>
      <c r="CL7" s="372">
        <v>0</v>
      </c>
      <c r="CM7" s="374">
        <v>0</v>
      </c>
      <c r="CN7" s="374">
        <f t="shared" si="12"/>
        <v>0</v>
      </c>
      <c r="CO7" s="370">
        <f t="shared" si="13"/>
        <v>0</v>
      </c>
      <c r="CP7" s="370">
        <v>0</v>
      </c>
      <c r="CQ7" s="370">
        <v>0</v>
      </c>
      <c r="CR7" s="372">
        <v>0</v>
      </c>
      <c r="CS7" s="374">
        <v>0</v>
      </c>
      <c r="CT7" s="375">
        <f t="shared" si="14"/>
        <v>0</v>
      </c>
      <c r="CU7" s="370">
        <f t="shared" si="15"/>
        <v>0</v>
      </c>
      <c r="CV7" s="370">
        <v>0</v>
      </c>
      <c r="CW7" s="370">
        <v>0</v>
      </c>
      <c r="CX7" s="372">
        <v>0</v>
      </c>
      <c r="CY7" s="374">
        <v>0</v>
      </c>
      <c r="CZ7" s="375">
        <f t="shared" si="16"/>
        <v>0</v>
      </c>
      <c r="DA7" s="370">
        <f t="shared" si="17"/>
        <v>0</v>
      </c>
      <c r="DB7" s="370">
        <v>0</v>
      </c>
      <c r="DC7" s="370">
        <v>0</v>
      </c>
      <c r="DD7" s="372">
        <v>7454207.8600000003</v>
      </c>
      <c r="DE7" s="374">
        <v>0</v>
      </c>
      <c r="DF7" s="375">
        <f t="shared" si="19"/>
        <v>7454207.8600000003</v>
      </c>
      <c r="DG7" s="370">
        <f t="shared" si="20"/>
        <v>1</v>
      </c>
      <c r="DH7" s="376">
        <f t="shared" si="21"/>
        <v>0</v>
      </c>
      <c r="DI7" s="376">
        <f t="shared" si="22"/>
        <v>7454207.8600000003</v>
      </c>
      <c r="DJ7" s="370">
        <f t="shared" si="23"/>
        <v>0</v>
      </c>
      <c r="DK7" s="370"/>
      <c r="DL7" s="377">
        <f t="shared" si="24"/>
        <v>0</v>
      </c>
      <c r="DM7" s="370">
        <f t="shared" si="25"/>
        <v>0</v>
      </c>
      <c r="DN7" s="370">
        <f t="shared" si="26"/>
        <v>0</v>
      </c>
      <c r="DO7" s="370">
        <f t="shared" si="27"/>
        <v>0</v>
      </c>
      <c r="DP7" s="370">
        <f t="shared" si="28"/>
        <v>0</v>
      </c>
      <c r="DQ7" s="378">
        <f t="shared" si="29"/>
        <v>7454207.8600000003</v>
      </c>
      <c r="DR7" s="370">
        <f t="shared" si="30"/>
        <v>0</v>
      </c>
      <c r="DS7" s="370">
        <f t="shared" si="31"/>
        <v>0</v>
      </c>
      <c r="DT7" s="370">
        <f t="shared" si="32"/>
        <v>0</v>
      </c>
      <c r="DU7" s="370">
        <f t="shared" si="33"/>
        <v>7454207.8600000003</v>
      </c>
      <c r="DW7" s="300">
        <v>0</v>
      </c>
      <c r="DX7" s="300">
        <v>0</v>
      </c>
      <c r="DY7" s="300">
        <v>0</v>
      </c>
      <c r="DZ7" s="381">
        <f t="shared" si="34"/>
        <v>670878.70739999996</v>
      </c>
      <c r="EA7" s="382">
        <f t="shared" si="35"/>
        <v>8125086.5674000001</v>
      </c>
      <c r="EB7" s="608"/>
    </row>
    <row r="8" spans="1:133" ht="113.25" hidden="1" customHeight="1">
      <c r="A8" s="80">
        <v>1</v>
      </c>
      <c r="B8" s="346" t="s">
        <v>6</v>
      </c>
      <c r="C8" s="82" t="s">
        <v>304</v>
      </c>
      <c r="D8" s="82" t="s">
        <v>305</v>
      </c>
      <c r="E8" s="346" t="s">
        <v>114</v>
      </c>
      <c r="F8" s="40" t="s">
        <v>306</v>
      </c>
      <c r="G8" s="346" t="s">
        <v>307</v>
      </c>
      <c r="H8" s="347" t="s">
        <v>310</v>
      </c>
      <c r="I8" s="347" t="s">
        <v>311</v>
      </c>
      <c r="J8" s="32">
        <v>27</v>
      </c>
      <c r="K8" s="348" t="s">
        <v>712</v>
      </c>
      <c r="L8" s="40" t="s">
        <v>330</v>
      </c>
      <c r="M8" s="40" t="s">
        <v>677</v>
      </c>
      <c r="N8" s="349" t="s">
        <v>11</v>
      </c>
      <c r="O8" s="350">
        <v>19</v>
      </c>
      <c r="P8" s="39" t="s">
        <v>12</v>
      </c>
      <c r="Q8" s="32">
        <v>1906</v>
      </c>
      <c r="R8" s="351">
        <v>1906004</v>
      </c>
      <c r="S8" s="352" t="s">
        <v>13</v>
      </c>
      <c r="T8" s="383" t="s">
        <v>314</v>
      </c>
      <c r="U8" s="351" t="s">
        <v>315</v>
      </c>
      <c r="V8" s="354" t="s">
        <v>14</v>
      </c>
      <c r="W8" s="355" t="s">
        <v>316</v>
      </c>
      <c r="X8" s="355"/>
      <c r="Y8" s="355"/>
      <c r="Z8" s="355"/>
      <c r="AA8" s="355"/>
      <c r="AB8" s="355"/>
      <c r="AC8" s="355"/>
      <c r="AD8" s="355"/>
      <c r="AE8" s="385">
        <f>BE8</f>
        <v>445488580.07999998</v>
      </c>
      <c r="AF8" s="355"/>
      <c r="AG8" s="355"/>
      <c r="AH8" s="356">
        <f t="shared" si="0"/>
        <v>445488580.07999998</v>
      </c>
      <c r="AI8" s="357" t="s">
        <v>713</v>
      </c>
      <c r="AJ8" s="80">
        <v>63890</v>
      </c>
      <c r="AK8" s="80">
        <v>65890</v>
      </c>
      <c r="AL8" s="80">
        <v>64390</v>
      </c>
      <c r="AM8" s="80">
        <v>64890</v>
      </c>
      <c r="AN8" s="80">
        <v>65390</v>
      </c>
      <c r="AO8" s="358">
        <v>65890</v>
      </c>
      <c r="AP8" s="33">
        <f t="shared" si="1"/>
        <v>12</v>
      </c>
      <c r="AQ8" s="359" t="s">
        <v>316</v>
      </c>
      <c r="AR8" s="25">
        <v>3</v>
      </c>
      <c r="AS8" s="25">
        <v>3</v>
      </c>
      <c r="AT8" s="25">
        <v>3</v>
      </c>
      <c r="AU8" s="25">
        <v>3</v>
      </c>
      <c r="AV8" s="39" t="s">
        <v>678</v>
      </c>
      <c r="AW8" s="39" t="s">
        <v>679</v>
      </c>
      <c r="AX8" s="39" t="s">
        <v>714</v>
      </c>
      <c r="AY8" s="32" t="s">
        <v>715</v>
      </c>
      <c r="AZ8" s="39" t="s">
        <v>681</v>
      </c>
      <c r="BA8" s="40" t="s">
        <v>13</v>
      </c>
      <c r="BB8" s="360" t="s">
        <v>716</v>
      </c>
      <c r="BC8" s="361" t="s">
        <v>692</v>
      </c>
      <c r="BD8" s="40" t="s">
        <v>693</v>
      </c>
      <c r="BE8" s="389">
        <f>445488577+3.08</f>
        <v>445488580.07999998</v>
      </c>
      <c r="BF8" s="363" t="s">
        <v>685</v>
      </c>
      <c r="BG8" s="364" t="s">
        <v>717</v>
      </c>
      <c r="BH8" s="365" t="s">
        <v>154</v>
      </c>
      <c r="BI8" s="365" t="s">
        <v>718</v>
      </c>
      <c r="BJ8" s="26" t="s">
        <v>688</v>
      </c>
      <c r="BK8" s="26" t="s">
        <v>689</v>
      </c>
      <c r="BL8" s="359">
        <v>0</v>
      </c>
      <c r="BM8" s="359">
        <v>0</v>
      </c>
      <c r="BN8" s="359">
        <v>0</v>
      </c>
      <c r="BO8" s="366">
        <f t="shared" si="2"/>
        <v>0</v>
      </c>
      <c r="BP8" s="367">
        <f t="shared" si="3"/>
        <v>0</v>
      </c>
      <c r="BQ8" s="359">
        <v>1</v>
      </c>
      <c r="BR8" s="359">
        <v>1</v>
      </c>
      <c r="BS8" s="359">
        <v>1</v>
      </c>
      <c r="BT8" s="366">
        <f t="shared" si="4"/>
        <v>3</v>
      </c>
      <c r="BU8" s="367">
        <f t="shared" si="5"/>
        <v>0.25</v>
      </c>
      <c r="BV8" s="359">
        <v>1</v>
      </c>
      <c r="BW8" s="359">
        <v>1</v>
      </c>
      <c r="BX8" s="359">
        <v>1</v>
      </c>
      <c r="BY8" s="366">
        <f t="shared" si="6"/>
        <v>3</v>
      </c>
      <c r="BZ8" s="367">
        <f t="shared" si="7"/>
        <v>0.25</v>
      </c>
      <c r="CA8" s="359">
        <v>0</v>
      </c>
      <c r="CB8" s="359">
        <v>0</v>
      </c>
      <c r="CC8" s="359">
        <v>0</v>
      </c>
      <c r="CD8" s="366">
        <f t="shared" si="8"/>
        <v>0</v>
      </c>
      <c r="CE8" s="367">
        <f t="shared" si="9"/>
        <v>0</v>
      </c>
      <c r="CF8" s="368">
        <f t="shared" si="10"/>
        <v>6</v>
      </c>
      <c r="CG8" s="359">
        <f t="shared" si="11"/>
        <v>0.5</v>
      </c>
      <c r="CH8" s="369"/>
      <c r="CI8" s="369"/>
      <c r="CJ8" s="370">
        <v>0</v>
      </c>
      <c r="CK8" s="370">
        <v>0</v>
      </c>
      <c r="CL8" s="372">
        <v>0</v>
      </c>
      <c r="CM8" s="374">
        <v>0</v>
      </c>
      <c r="CN8" s="374">
        <f t="shared" si="12"/>
        <v>0</v>
      </c>
      <c r="CO8" s="370">
        <f t="shared" si="13"/>
        <v>0</v>
      </c>
      <c r="CP8" s="370">
        <v>0</v>
      </c>
      <c r="CQ8" s="370">
        <v>148496192.31999999</v>
      </c>
      <c r="CR8" s="372">
        <v>74248096.159999996</v>
      </c>
      <c r="CS8" s="374">
        <v>222744288.47999999</v>
      </c>
      <c r="CT8" s="375">
        <f t="shared" si="14"/>
        <v>222744288.47999999</v>
      </c>
      <c r="CU8" s="370">
        <f t="shared" si="15"/>
        <v>0.49999999649822674</v>
      </c>
      <c r="CV8" s="370">
        <f>259868336.56-222744288.48</f>
        <v>37124048.080000013</v>
      </c>
      <c r="CW8" s="370">
        <f>37124048.08</f>
        <v>37124048.079999998</v>
      </c>
      <c r="CX8" s="370">
        <f>37124048.08</f>
        <v>37124048.079999998</v>
      </c>
      <c r="CY8" s="374">
        <f>CV8+CW8+CX8</f>
        <v>111372144.24000001</v>
      </c>
      <c r="CZ8" s="375">
        <f t="shared" si="16"/>
        <v>111372144.24000001</v>
      </c>
      <c r="DA8" s="370">
        <f t="shared" si="17"/>
        <v>0.2499999982491134</v>
      </c>
      <c r="DB8" s="370">
        <f t="shared" ref="DB8:DD8" si="36">37124048.08</f>
        <v>37124048.079999998</v>
      </c>
      <c r="DC8" s="370">
        <f t="shared" si="36"/>
        <v>37124048.079999998</v>
      </c>
      <c r="DD8" s="370">
        <f t="shared" si="36"/>
        <v>37124048.079999998</v>
      </c>
      <c r="DE8" s="374">
        <f t="shared" ref="DE8" si="37">DB8+DC8+DD8</f>
        <v>111372144.23999999</v>
      </c>
      <c r="DF8" s="375">
        <f t="shared" si="19"/>
        <v>111372144.23999999</v>
      </c>
      <c r="DG8" s="370">
        <f t="shared" si="20"/>
        <v>0.24999999824911337</v>
      </c>
      <c r="DH8" s="376">
        <f t="shared" si="21"/>
        <v>445488576.96000004</v>
      </c>
      <c r="DI8" s="376">
        <f t="shared" si="22"/>
        <v>445488576.96000004</v>
      </c>
      <c r="DJ8" s="370">
        <f t="shared" si="23"/>
        <v>0.99999999299645359</v>
      </c>
      <c r="DK8" s="370"/>
      <c r="DL8" s="377">
        <f t="shared" si="24"/>
        <v>445488576.96000004</v>
      </c>
      <c r="DM8" s="370">
        <f t="shared" si="25"/>
        <v>0</v>
      </c>
      <c r="DN8" s="370">
        <f t="shared" si="26"/>
        <v>222744288.47999999</v>
      </c>
      <c r="DO8" s="370">
        <f t="shared" si="27"/>
        <v>111372144.24000001</v>
      </c>
      <c r="DP8" s="370">
        <f t="shared" si="28"/>
        <v>111372144.23999999</v>
      </c>
      <c r="DQ8" s="378">
        <f t="shared" si="29"/>
        <v>445488576.96000004</v>
      </c>
      <c r="DR8" s="370">
        <f t="shared" si="30"/>
        <v>0</v>
      </c>
      <c r="DS8" s="370">
        <f t="shared" si="31"/>
        <v>222744288.47999999</v>
      </c>
      <c r="DT8" s="370">
        <f t="shared" si="32"/>
        <v>111372144.24000001</v>
      </c>
      <c r="DU8" s="370">
        <f t="shared" si="33"/>
        <v>111372144.23999999</v>
      </c>
      <c r="DW8" s="300">
        <v>0</v>
      </c>
      <c r="DX8" s="300">
        <v>0</v>
      </c>
      <c r="DY8" s="300">
        <v>0</v>
      </c>
      <c r="DZ8" s="381"/>
      <c r="EA8" s="382">
        <v>421210896.68000001</v>
      </c>
      <c r="EB8" s="608"/>
    </row>
    <row r="9" spans="1:133" ht="113.25" hidden="1" customHeight="1">
      <c r="A9" s="80"/>
      <c r="B9" s="346"/>
      <c r="C9" s="82"/>
      <c r="D9" s="82"/>
      <c r="E9" s="346" t="s">
        <v>114</v>
      </c>
      <c r="F9" s="40" t="s">
        <v>306</v>
      </c>
      <c r="G9" s="346" t="s">
        <v>307</v>
      </c>
      <c r="H9" s="347" t="s">
        <v>310</v>
      </c>
      <c r="I9" s="347" t="s">
        <v>311</v>
      </c>
      <c r="J9" s="32">
        <v>27</v>
      </c>
      <c r="K9" s="348" t="s">
        <v>712</v>
      </c>
      <c r="L9" s="40"/>
      <c r="M9" s="40"/>
      <c r="N9" s="349" t="s">
        <v>11</v>
      </c>
      <c r="O9" s="350">
        <v>19</v>
      </c>
      <c r="P9" s="39" t="s">
        <v>12</v>
      </c>
      <c r="Q9" s="32">
        <v>1906</v>
      </c>
      <c r="R9" s="351">
        <v>1906004</v>
      </c>
      <c r="S9" s="352" t="s">
        <v>13</v>
      </c>
      <c r="T9" s="383" t="s">
        <v>314</v>
      </c>
      <c r="U9" s="351" t="s">
        <v>315</v>
      </c>
      <c r="V9" s="354" t="s">
        <v>14</v>
      </c>
      <c r="W9" s="355" t="s">
        <v>316</v>
      </c>
      <c r="X9" s="355"/>
      <c r="Y9" s="355"/>
      <c r="Z9" s="355"/>
      <c r="AA9" s="355"/>
      <c r="AB9" s="355"/>
      <c r="AC9" s="355"/>
      <c r="AD9" s="355"/>
      <c r="AE9" s="355"/>
      <c r="AF9" s="355"/>
      <c r="AG9" s="355"/>
      <c r="AH9" s="356"/>
      <c r="AI9" s="390" t="s">
        <v>719</v>
      </c>
      <c r="AJ9" s="80"/>
      <c r="AK9" s="80"/>
      <c r="AL9" s="80"/>
      <c r="AM9" s="80"/>
      <c r="AN9" s="80"/>
      <c r="AO9" s="358"/>
      <c r="AP9" s="33">
        <v>100</v>
      </c>
      <c r="AQ9" s="359"/>
      <c r="AR9" s="25">
        <v>0</v>
      </c>
      <c r="AS9" s="25">
        <v>0</v>
      </c>
      <c r="AT9" s="25">
        <v>100</v>
      </c>
      <c r="AU9" s="25">
        <v>0</v>
      </c>
      <c r="AV9" s="39" t="s">
        <v>678</v>
      </c>
      <c r="AW9" s="39" t="s">
        <v>679</v>
      </c>
      <c r="AX9" s="39" t="s">
        <v>708</v>
      </c>
      <c r="AY9" s="25">
        <v>402</v>
      </c>
      <c r="AZ9" s="39"/>
      <c r="BA9" s="40" t="s">
        <v>13</v>
      </c>
      <c r="BB9" s="360" t="s">
        <v>709</v>
      </c>
      <c r="BC9" s="361" t="s">
        <v>710</v>
      </c>
      <c r="BD9" s="40" t="s">
        <v>698</v>
      </c>
      <c r="BE9" s="391">
        <v>15437000</v>
      </c>
      <c r="BF9" s="363" t="s">
        <v>720</v>
      </c>
      <c r="BG9" s="364" t="s">
        <v>721</v>
      </c>
      <c r="BH9" s="365" t="s">
        <v>722</v>
      </c>
      <c r="BI9" s="365"/>
      <c r="BJ9" s="365"/>
      <c r="BK9" s="365"/>
      <c r="BL9" s="359">
        <v>0</v>
      </c>
      <c r="BM9" s="359">
        <v>0</v>
      </c>
      <c r="BN9" s="359">
        <v>0</v>
      </c>
      <c r="BO9" s="366">
        <f t="shared" si="2"/>
        <v>0</v>
      </c>
      <c r="BP9" s="367">
        <f t="shared" si="3"/>
        <v>0</v>
      </c>
      <c r="BQ9" s="359">
        <v>0</v>
      </c>
      <c r="BR9" s="359">
        <v>0</v>
      </c>
      <c r="BS9" s="359">
        <v>0</v>
      </c>
      <c r="BT9" s="366">
        <f t="shared" si="4"/>
        <v>0</v>
      </c>
      <c r="BU9" s="367">
        <f t="shared" si="5"/>
        <v>0</v>
      </c>
      <c r="BV9" s="359">
        <v>0</v>
      </c>
      <c r="BW9" s="359">
        <v>0</v>
      </c>
      <c r="BX9" s="359">
        <v>0</v>
      </c>
      <c r="BY9" s="366">
        <f t="shared" si="6"/>
        <v>0</v>
      </c>
      <c r="BZ9" s="367">
        <f t="shared" si="7"/>
        <v>0</v>
      </c>
      <c r="CA9" s="359">
        <v>0</v>
      </c>
      <c r="CB9" s="359">
        <v>0</v>
      </c>
      <c r="CC9" s="359">
        <v>0</v>
      </c>
      <c r="CD9" s="366">
        <f t="shared" si="8"/>
        <v>0</v>
      </c>
      <c r="CE9" s="367" t="e">
        <f t="shared" si="9"/>
        <v>#DIV/0!</v>
      </c>
      <c r="CF9" s="368">
        <f t="shared" si="10"/>
        <v>0</v>
      </c>
      <c r="CG9" s="359"/>
      <c r="CH9" s="369"/>
      <c r="CI9" s="369"/>
      <c r="CJ9" s="370">
        <v>0</v>
      </c>
      <c r="CK9" s="370">
        <v>0</v>
      </c>
      <c r="CL9" s="372">
        <v>0</v>
      </c>
      <c r="CM9" s="374">
        <v>0</v>
      </c>
      <c r="CN9" s="374">
        <f t="shared" si="12"/>
        <v>0</v>
      </c>
      <c r="CO9" s="370"/>
      <c r="CP9" s="370">
        <v>0</v>
      </c>
      <c r="CQ9" s="370">
        <v>0</v>
      </c>
      <c r="CR9" s="372">
        <v>0</v>
      </c>
      <c r="CS9" s="374">
        <v>0</v>
      </c>
      <c r="CT9" s="375">
        <f t="shared" si="14"/>
        <v>0</v>
      </c>
      <c r="CU9" s="370"/>
      <c r="CV9" s="370">
        <v>0</v>
      </c>
      <c r="CW9" s="370">
        <v>0</v>
      </c>
      <c r="CX9" s="372">
        <v>0</v>
      </c>
      <c r="CY9" s="374">
        <v>0</v>
      </c>
      <c r="CZ9" s="375">
        <f t="shared" si="16"/>
        <v>0</v>
      </c>
      <c r="DA9" s="370"/>
      <c r="DB9" s="370">
        <v>0</v>
      </c>
      <c r="DC9" s="370">
        <v>0</v>
      </c>
      <c r="DD9" s="372">
        <v>15437000</v>
      </c>
      <c r="DE9" s="374">
        <v>15437000</v>
      </c>
      <c r="DF9" s="375">
        <f t="shared" si="19"/>
        <v>15437000</v>
      </c>
      <c r="DG9" s="370"/>
      <c r="DH9" s="376">
        <f t="shared" si="21"/>
        <v>15437000</v>
      </c>
      <c r="DI9" s="376">
        <f t="shared" si="22"/>
        <v>15437000</v>
      </c>
      <c r="DJ9" s="370"/>
      <c r="DK9" s="370"/>
      <c r="DL9" s="377">
        <f t="shared" si="24"/>
        <v>15437000</v>
      </c>
      <c r="DM9" s="370">
        <f t="shared" si="25"/>
        <v>0</v>
      </c>
      <c r="DN9" s="370">
        <f t="shared" si="26"/>
        <v>0</v>
      </c>
      <c r="DO9" s="370">
        <f t="shared" si="27"/>
        <v>0</v>
      </c>
      <c r="DP9" s="370">
        <f t="shared" si="28"/>
        <v>15437000</v>
      </c>
      <c r="DQ9" s="378">
        <f t="shared" si="29"/>
        <v>15437000</v>
      </c>
      <c r="DR9" s="370">
        <f t="shared" si="30"/>
        <v>0</v>
      </c>
      <c r="DS9" s="370">
        <f t="shared" si="31"/>
        <v>0</v>
      </c>
      <c r="DT9" s="370">
        <f t="shared" si="32"/>
        <v>0</v>
      </c>
      <c r="DU9" s="370">
        <f t="shared" si="33"/>
        <v>15437000</v>
      </c>
      <c r="DW9" s="300">
        <v>0</v>
      </c>
      <c r="DX9" s="300">
        <v>0</v>
      </c>
      <c r="DY9" s="300">
        <v>0</v>
      </c>
      <c r="DZ9" s="381">
        <f t="shared" si="34"/>
        <v>1389330</v>
      </c>
      <c r="EA9" s="382">
        <v>19073055.59</v>
      </c>
      <c r="EB9" s="608" t="s">
        <v>723</v>
      </c>
    </row>
    <row r="10" spans="1:133" ht="119.25" hidden="1" customHeight="1">
      <c r="A10" s="80">
        <v>1</v>
      </c>
      <c r="B10" s="346" t="s">
        <v>6</v>
      </c>
      <c r="C10" s="82" t="s">
        <v>304</v>
      </c>
      <c r="D10" s="82" t="s">
        <v>305</v>
      </c>
      <c r="E10" s="346" t="s">
        <v>114</v>
      </c>
      <c r="F10" s="40" t="s">
        <v>306</v>
      </c>
      <c r="G10" s="346" t="s">
        <v>332</v>
      </c>
      <c r="H10" s="347" t="s">
        <v>335</v>
      </c>
      <c r="I10" s="347" t="s">
        <v>724</v>
      </c>
      <c r="J10" s="32">
        <v>28</v>
      </c>
      <c r="K10" s="348" t="s">
        <v>337</v>
      </c>
      <c r="L10" s="40" t="s">
        <v>338</v>
      </c>
      <c r="M10" s="40" t="s">
        <v>725</v>
      </c>
      <c r="N10" s="349" t="s">
        <v>11</v>
      </c>
      <c r="O10" s="350">
        <v>19</v>
      </c>
      <c r="P10" s="39" t="s">
        <v>19</v>
      </c>
      <c r="Q10" s="32">
        <v>1905</v>
      </c>
      <c r="R10" s="351">
        <v>1905024</v>
      </c>
      <c r="S10" s="352" t="s">
        <v>20</v>
      </c>
      <c r="T10" s="383" t="s">
        <v>339</v>
      </c>
      <c r="U10" s="351">
        <v>190502400</v>
      </c>
      <c r="V10" s="354" t="s">
        <v>21</v>
      </c>
      <c r="W10" s="355" t="s">
        <v>316</v>
      </c>
      <c r="X10" s="385">
        <f>BE10</f>
        <v>37100000</v>
      </c>
      <c r="Y10" s="355"/>
      <c r="Z10" s="355"/>
      <c r="AA10" s="355"/>
      <c r="AB10" s="355"/>
      <c r="AC10" s="355"/>
      <c r="AD10" s="355"/>
      <c r="AE10" s="355"/>
      <c r="AF10" s="355"/>
      <c r="AG10" s="355"/>
      <c r="AH10" s="356">
        <f t="shared" si="0"/>
        <v>37100000</v>
      </c>
      <c r="AI10" s="357" t="s">
        <v>125</v>
      </c>
      <c r="AJ10" s="80">
        <v>1</v>
      </c>
      <c r="AK10" s="80">
        <v>1</v>
      </c>
      <c r="AL10" s="80">
        <v>1</v>
      </c>
      <c r="AM10" s="80">
        <v>1</v>
      </c>
      <c r="AN10" s="80">
        <v>1</v>
      </c>
      <c r="AO10" s="358">
        <v>1</v>
      </c>
      <c r="AP10" s="33">
        <v>9</v>
      </c>
      <c r="AQ10" s="359" t="s">
        <v>316</v>
      </c>
      <c r="AR10" s="25">
        <v>0</v>
      </c>
      <c r="AS10" s="25">
        <v>1</v>
      </c>
      <c r="AT10" s="25">
        <v>4</v>
      </c>
      <c r="AU10" s="25">
        <v>4</v>
      </c>
      <c r="AV10" s="392" t="s">
        <v>726</v>
      </c>
      <c r="AW10" s="392" t="s">
        <v>727</v>
      </c>
      <c r="AX10" s="39" t="s">
        <v>728</v>
      </c>
      <c r="AY10" s="25">
        <v>385</v>
      </c>
      <c r="AZ10" s="39" t="s">
        <v>729</v>
      </c>
      <c r="BA10" s="40" t="s">
        <v>20</v>
      </c>
      <c r="BB10" s="360" t="s">
        <v>730</v>
      </c>
      <c r="BC10" s="361" t="s">
        <v>683</v>
      </c>
      <c r="BD10" s="40" t="s">
        <v>731</v>
      </c>
      <c r="BE10" s="391">
        <v>37100000</v>
      </c>
      <c r="BF10" s="393" t="s">
        <v>732</v>
      </c>
      <c r="BG10" s="364" t="s">
        <v>733</v>
      </c>
      <c r="BH10" s="25" t="s">
        <v>734</v>
      </c>
      <c r="BI10" s="25"/>
      <c r="BJ10" s="26" t="s">
        <v>735</v>
      </c>
      <c r="BK10" s="26" t="s">
        <v>736</v>
      </c>
      <c r="BL10" s="359">
        <v>0</v>
      </c>
      <c r="BM10" s="359">
        <v>0</v>
      </c>
      <c r="BN10" s="359">
        <v>0</v>
      </c>
      <c r="BO10" s="366">
        <f t="shared" si="2"/>
        <v>0</v>
      </c>
      <c r="BP10" s="367">
        <f t="shared" si="3"/>
        <v>0</v>
      </c>
      <c r="BQ10" s="359">
        <v>0</v>
      </c>
      <c r="BR10" s="359">
        <v>0</v>
      </c>
      <c r="BS10" s="359">
        <v>0</v>
      </c>
      <c r="BT10" s="366">
        <f t="shared" si="4"/>
        <v>0</v>
      </c>
      <c r="BU10" s="367">
        <f t="shared" si="5"/>
        <v>0</v>
      </c>
      <c r="BV10" s="359">
        <v>0</v>
      </c>
      <c r="BW10" s="359">
        <v>0</v>
      </c>
      <c r="BX10" s="359">
        <v>0</v>
      </c>
      <c r="BY10" s="366">
        <f t="shared" si="6"/>
        <v>0</v>
      </c>
      <c r="BZ10" s="367">
        <f t="shared" si="7"/>
        <v>0</v>
      </c>
      <c r="CA10" s="359">
        <v>0</v>
      </c>
      <c r="CB10" s="359">
        <v>0</v>
      </c>
      <c r="CC10" s="359">
        <v>0</v>
      </c>
      <c r="CD10" s="366">
        <f t="shared" si="8"/>
        <v>0</v>
      </c>
      <c r="CE10" s="367">
        <f t="shared" si="9"/>
        <v>0</v>
      </c>
      <c r="CF10" s="368">
        <f t="shared" si="10"/>
        <v>0</v>
      </c>
      <c r="CG10" s="359">
        <f t="shared" si="11"/>
        <v>0</v>
      </c>
      <c r="CH10" s="369"/>
      <c r="CI10" s="369"/>
      <c r="CJ10" s="370">
        <v>0</v>
      </c>
      <c r="CK10" s="370">
        <v>0</v>
      </c>
      <c r="CL10" s="372">
        <v>0</v>
      </c>
      <c r="CM10" s="374">
        <v>0</v>
      </c>
      <c r="CN10" s="374">
        <f t="shared" si="12"/>
        <v>0</v>
      </c>
      <c r="CO10" s="370">
        <f t="shared" si="13"/>
        <v>0</v>
      </c>
      <c r="CP10" s="370">
        <v>0</v>
      </c>
      <c r="CQ10" s="370">
        <v>0</v>
      </c>
      <c r="CR10" s="372">
        <v>0</v>
      </c>
      <c r="CS10" s="374">
        <v>0</v>
      </c>
      <c r="CT10" s="375">
        <f t="shared" si="14"/>
        <v>0</v>
      </c>
      <c r="CU10" s="370">
        <f t="shared" si="15"/>
        <v>0</v>
      </c>
      <c r="CV10" s="370">
        <v>0</v>
      </c>
      <c r="CW10" s="370">
        <v>0</v>
      </c>
      <c r="CX10" s="372">
        <v>0</v>
      </c>
      <c r="CY10" s="374">
        <v>0</v>
      </c>
      <c r="CZ10" s="375">
        <f t="shared" si="16"/>
        <v>0</v>
      </c>
      <c r="DA10" s="370">
        <f t="shared" si="17"/>
        <v>0</v>
      </c>
      <c r="DB10" s="370">
        <v>0</v>
      </c>
      <c r="DC10" s="370">
        <v>0</v>
      </c>
      <c r="DD10" s="372">
        <v>0</v>
      </c>
      <c r="DE10" s="374">
        <v>37100000</v>
      </c>
      <c r="DF10" s="375">
        <f t="shared" si="19"/>
        <v>0</v>
      </c>
      <c r="DG10" s="370">
        <f t="shared" si="20"/>
        <v>0</v>
      </c>
      <c r="DH10" s="376">
        <f t="shared" si="21"/>
        <v>37100000</v>
      </c>
      <c r="DI10" s="376">
        <f t="shared" si="22"/>
        <v>0</v>
      </c>
      <c r="DJ10" s="370">
        <f t="shared" si="23"/>
        <v>1</v>
      </c>
      <c r="DK10" s="370"/>
      <c r="DL10" s="377">
        <f t="shared" si="24"/>
        <v>37100000</v>
      </c>
      <c r="DM10" s="370">
        <f t="shared" si="25"/>
        <v>0</v>
      </c>
      <c r="DN10" s="370">
        <f t="shared" si="26"/>
        <v>0</v>
      </c>
      <c r="DO10" s="370">
        <f t="shared" si="27"/>
        <v>0</v>
      </c>
      <c r="DP10" s="370">
        <f t="shared" si="28"/>
        <v>37100000</v>
      </c>
      <c r="DQ10" s="378">
        <f t="shared" si="29"/>
        <v>0</v>
      </c>
      <c r="DR10" s="370">
        <f t="shared" si="30"/>
        <v>0</v>
      </c>
      <c r="DS10" s="370">
        <f t="shared" si="31"/>
        <v>0</v>
      </c>
      <c r="DT10" s="370">
        <f t="shared" si="32"/>
        <v>0</v>
      </c>
      <c r="DU10" s="370">
        <f t="shared" si="33"/>
        <v>0</v>
      </c>
      <c r="DW10" s="300">
        <v>0</v>
      </c>
      <c r="DX10" s="300">
        <v>0</v>
      </c>
      <c r="DY10" s="300">
        <v>0</v>
      </c>
      <c r="DZ10" s="381">
        <f t="shared" si="34"/>
        <v>3339000</v>
      </c>
      <c r="EA10" s="382">
        <f t="shared" si="35"/>
        <v>40439000</v>
      </c>
      <c r="EB10" s="608"/>
      <c r="EC10" s="280" t="s">
        <v>1177</v>
      </c>
    </row>
    <row r="11" spans="1:133" ht="149.25" hidden="1" customHeight="1">
      <c r="A11" s="80">
        <v>1</v>
      </c>
      <c r="B11" s="346" t="s">
        <v>6</v>
      </c>
      <c r="C11" s="82" t="s">
        <v>304</v>
      </c>
      <c r="D11" s="82" t="s">
        <v>305</v>
      </c>
      <c r="E11" s="346" t="s">
        <v>114</v>
      </c>
      <c r="F11" s="40" t="s">
        <v>306</v>
      </c>
      <c r="G11" s="346" t="s">
        <v>332</v>
      </c>
      <c r="H11" s="347" t="s">
        <v>335</v>
      </c>
      <c r="I11" s="347" t="s">
        <v>724</v>
      </c>
      <c r="J11" s="32">
        <v>29</v>
      </c>
      <c r="K11" s="348" t="s">
        <v>737</v>
      </c>
      <c r="L11" s="40" t="s">
        <v>738</v>
      </c>
      <c r="M11" s="40" t="s">
        <v>725</v>
      </c>
      <c r="N11" s="349" t="s">
        <v>11</v>
      </c>
      <c r="O11" s="350">
        <v>19</v>
      </c>
      <c r="P11" s="39" t="s">
        <v>19</v>
      </c>
      <c r="Q11" s="32">
        <v>1905</v>
      </c>
      <c r="R11" s="351">
        <v>1905024</v>
      </c>
      <c r="S11" s="352" t="s">
        <v>20</v>
      </c>
      <c r="T11" s="383" t="s">
        <v>339</v>
      </c>
      <c r="U11" s="351">
        <v>190502400</v>
      </c>
      <c r="V11" s="354" t="s">
        <v>21</v>
      </c>
      <c r="W11" s="355" t="s">
        <v>316</v>
      </c>
      <c r="X11" s="385">
        <f>BE11</f>
        <v>5864439.2409999995</v>
      </c>
      <c r="Y11" s="355"/>
      <c r="Z11" s="355"/>
      <c r="AA11" s="355"/>
      <c r="AB11" s="355"/>
      <c r="AC11" s="355"/>
      <c r="AD11" s="355"/>
      <c r="AE11" s="355"/>
      <c r="AF11" s="355"/>
      <c r="AG11" s="355"/>
      <c r="AH11" s="356">
        <f t="shared" si="0"/>
        <v>5864439.2409999995</v>
      </c>
      <c r="AI11" s="357" t="s">
        <v>126</v>
      </c>
      <c r="AJ11" s="80">
        <v>1</v>
      </c>
      <c r="AK11" s="80">
        <v>1</v>
      </c>
      <c r="AL11" s="80">
        <v>1</v>
      </c>
      <c r="AM11" s="80">
        <v>1</v>
      </c>
      <c r="AN11" s="80">
        <v>1</v>
      </c>
      <c r="AO11" s="358">
        <v>1</v>
      </c>
      <c r="AP11" s="33">
        <f t="shared" si="1"/>
        <v>30</v>
      </c>
      <c r="AQ11" s="359" t="s">
        <v>316</v>
      </c>
      <c r="AR11" s="25">
        <v>0</v>
      </c>
      <c r="AS11" s="25">
        <v>10</v>
      </c>
      <c r="AT11" s="25">
        <v>10</v>
      </c>
      <c r="AU11" s="25">
        <v>10</v>
      </c>
      <c r="AV11" s="392" t="s">
        <v>739</v>
      </c>
      <c r="AW11" s="392" t="s">
        <v>740</v>
      </c>
      <c r="AX11" s="39" t="s">
        <v>741</v>
      </c>
      <c r="AY11" s="25">
        <v>384</v>
      </c>
      <c r="AZ11" s="39" t="s">
        <v>729</v>
      </c>
      <c r="BA11" s="40" t="s">
        <v>20</v>
      </c>
      <c r="BB11" s="360" t="s">
        <v>730</v>
      </c>
      <c r="BC11" s="361" t="s">
        <v>683</v>
      </c>
      <c r="BD11" s="40" t="s">
        <v>731</v>
      </c>
      <c r="BE11" s="391">
        <v>5864439.2409999995</v>
      </c>
      <c r="BF11" s="43" t="s">
        <v>742</v>
      </c>
      <c r="BG11" s="364" t="s">
        <v>733</v>
      </c>
      <c r="BH11" s="365" t="s">
        <v>734</v>
      </c>
      <c r="BI11" s="365"/>
      <c r="BJ11" s="26" t="s">
        <v>735</v>
      </c>
      <c r="BK11" s="26" t="s">
        <v>736</v>
      </c>
      <c r="BL11" s="359">
        <v>0</v>
      </c>
      <c r="BM11" s="359">
        <v>0</v>
      </c>
      <c r="BN11" s="359">
        <v>0</v>
      </c>
      <c r="BO11" s="366">
        <f t="shared" si="2"/>
        <v>0</v>
      </c>
      <c r="BP11" s="367">
        <f t="shared" si="3"/>
        <v>0</v>
      </c>
      <c r="BQ11" s="359">
        <v>0</v>
      </c>
      <c r="BR11" s="359">
        <v>2</v>
      </c>
      <c r="BS11" s="359">
        <v>12</v>
      </c>
      <c r="BT11" s="366">
        <f t="shared" si="4"/>
        <v>14</v>
      </c>
      <c r="BU11" s="367">
        <f t="shared" si="5"/>
        <v>0.46666666666666667</v>
      </c>
      <c r="BV11" s="359">
        <v>8</v>
      </c>
      <c r="BW11" s="359">
        <v>8</v>
      </c>
      <c r="BX11" s="359">
        <v>0</v>
      </c>
      <c r="BY11" s="366">
        <f t="shared" si="6"/>
        <v>16</v>
      </c>
      <c r="BZ11" s="367">
        <f t="shared" si="7"/>
        <v>0.53333333333333333</v>
      </c>
      <c r="CA11" s="359">
        <v>0</v>
      </c>
      <c r="CB11" s="359">
        <v>0</v>
      </c>
      <c r="CC11" s="359">
        <v>0</v>
      </c>
      <c r="CD11" s="366">
        <f t="shared" si="8"/>
        <v>0</v>
      </c>
      <c r="CE11" s="367">
        <f t="shared" si="9"/>
        <v>0</v>
      </c>
      <c r="CF11" s="368">
        <f t="shared" si="10"/>
        <v>30</v>
      </c>
      <c r="CG11" s="359">
        <f t="shared" si="11"/>
        <v>1</v>
      </c>
      <c r="CH11" s="369"/>
      <c r="CI11" s="369"/>
      <c r="CJ11" s="370">
        <v>0</v>
      </c>
      <c r="CK11" s="370">
        <v>0</v>
      </c>
      <c r="CL11" s="370">
        <v>0</v>
      </c>
      <c r="CM11" s="394">
        <v>5864439.2409999995</v>
      </c>
      <c r="CN11" s="374">
        <f t="shared" si="12"/>
        <v>0</v>
      </c>
      <c r="CO11" s="370">
        <f t="shared" si="13"/>
        <v>0</v>
      </c>
      <c r="CP11" s="395">
        <v>0</v>
      </c>
      <c r="CQ11" s="370">
        <v>0</v>
      </c>
      <c r="CR11" s="372">
        <v>390962.61606666661</v>
      </c>
      <c r="CS11" s="375">
        <v>0</v>
      </c>
      <c r="CT11" s="375">
        <f t="shared" si="14"/>
        <v>390962.61606666661</v>
      </c>
      <c r="CU11" s="370">
        <f t="shared" si="15"/>
        <v>6.6666666666666666E-2</v>
      </c>
      <c r="CV11" s="370">
        <v>2345775.6963999998</v>
      </c>
      <c r="CW11" s="370">
        <v>1563850.4642666664</v>
      </c>
      <c r="CX11" s="370">
        <v>1563850.4642666664</v>
      </c>
      <c r="CY11" s="374">
        <v>0</v>
      </c>
      <c r="CZ11" s="375">
        <f t="shared" si="16"/>
        <v>5473476.6249333322</v>
      </c>
      <c r="DA11" s="370">
        <f t="shared" si="17"/>
        <v>0.93333333333333324</v>
      </c>
      <c r="DB11" s="370">
        <v>0</v>
      </c>
      <c r="DC11" s="370">
        <v>0</v>
      </c>
      <c r="DD11" s="372">
        <v>0</v>
      </c>
      <c r="DE11" s="374">
        <v>0</v>
      </c>
      <c r="DF11" s="375">
        <f t="shared" si="19"/>
        <v>0</v>
      </c>
      <c r="DG11" s="370">
        <f t="shared" si="20"/>
        <v>0</v>
      </c>
      <c r="DH11" s="376">
        <f t="shared" si="21"/>
        <v>5864439.2409999995</v>
      </c>
      <c r="DI11" s="376">
        <f t="shared" si="22"/>
        <v>5864439.2409999985</v>
      </c>
      <c r="DJ11" s="370">
        <f t="shared" si="23"/>
        <v>1</v>
      </c>
      <c r="DK11" s="370"/>
      <c r="DL11" s="377">
        <f t="shared" si="24"/>
        <v>5864439.2409999995</v>
      </c>
      <c r="DM11" s="370">
        <f t="shared" si="25"/>
        <v>5864439.2409999995</v>
      </c>
      <c r="DN11" s="370">
        <f t="shared" si="26"/>
        <v>0</v>
      </c>
      <c r="DO11" s="370">
        <f t="shared" si="27"/>
        <v>0</v>
      </c>
      <c r="DP11" s="370">
        <f t="shared" si="28"/>
        <v>0</v>
      </c>
      <c r="DQ11" s="378">
        <f t="shared" si="29"/>
        <v>5864439.2409999985</v>
      </c>
      <c r="DR11" s="370">
        <f t="shared" si="30"/>
        <v>0</v>
      </c>
      <c r="DS11" s="370">
        <f t="shared" si="31"/>
        <v>390962.61606666661</v>
      </c>
      <c r="DT11" s="370">
        <f t="shared" si="32"/>
        <v>5473476.6249333322</v>
      </c>
      <c r="DU11" s="370">
        <f t="shared" si="33"/>
        <v>0</v>
      </c>
      <c r="DW11" s="370">
        <v>2345775.6963999998</v>
      </c>
      <c r="DX11" s="370">
        <v>1563850.4642666664</v>
      </c>
      <c r="DY11" s="300">
        <v>0</v>
      </c>
      <c r="DZ11" s="381">
        <f t="shared" si="34"/>
        <v>527799.53168999997</v>
      </c>
      <c r="EA11" s="382">
        <f t="shared" si="35"/>
        <v>6392238.7726899991</v>
      </c>
      <c r="EB11" s="608"/>
      <c r="EC11" s="280" t="s">
        <v>1177</v>
      </c>
    </row>
    <row r="12" spans="1:133" ht="155.25" hidden="1" customHeight="1">
      <c r="A12" s="80">
        <v>1</v>
      </c>
      <c r="B12" s="346" t="s">
        <v>6</v>
      </c>
      <c r="C12" s="82" t="s">
        <v>304</v>
      </c>
      <c r="D12" s="82" t="s">
        <v>305</v>
      </c>
      <c r="E12" s="346" t="s">
        <v>114</v>
      </c>
      <c r="F12" s="40" t="s">
        <v>306</v>
      </c>
      <c r="G12" s="346" t="s">
        <v>332</v>
      </c>
      <c r="H12" s="347" t="s">
        <v>335</v>
      </c>
      <c r="I12" s="347" t="s">
        <v>724</v>
      </c>
      <c r="J12" s="32">
        <v>30</v>
      </c>
      <c r="K12" s="348" t="s">
        <v>352</v>
      </c>
      <c r="L12" s="40" t="s">
        <v>743</v>
      </c>
      <c r="M12" s="40" t="s">
        <v>725</v>
      </c>
      <c r="N12" s="349" t="s">
        <v>11</v>
      </c>
      <c r="O12" s="350">
        <v>19</v>
      </c>
      <c r="P12" s="39" t="s">
        <v>19</v>
      </c>
      <c r="Q12" s="32">
        <v>1905</v>
      </c>
      <c r="R12" s="351">
        <v>1905024</v>
      </c>
      <c r="S12" s="352" t="s">
        <v>20</v>
      </c>
      <c r="T12" s="383" t="s">
        <v>339</v>
      </c>
      <c r="U12" s="351">
        <v>190502400</v>
      </c>
      <c r="V12" s="354" t="s">
        <v>21</v>
      </c>
      <c r="W12" s="355" t="s">
        <v>316</v>
      </c>
      <c r="X12" s="355"/>
      <c r="Y12" s="355"/>
      <c r="Z12" s="356">
        <f>BE12</f>
        <v>15691100.43</v>
      </c>
      <c r="AA12" s="396"/>
      <c r="AB12" s="355"/>
      <c r="AC12" s="355"/>
      <c r="AD12" s="355"/>
      <c r="AE12" s="355"/>
      <c r="AF12" s="355"/>
      <c r="AG12" s="355"/>
      <c r="AH12" s="396">
        <f t="shared" si="0"/>
        <v>15691100.43</v>
      </c>
      <c r="AI12" s="397" t="s">
        <v>127</v>
      </c>
      <c r="AJ12" s="80">
        <v>1</v>
      </c>
      <c r="AK12" s="80">
        <v>1</v>
      </c>
      <c r="AL12" s="80">
        <v>1</v>
      </c>
      <c r="AM12" s="80">
        <v>1</v>
      </c>
      <c r="AN12" s="80">
        <v>1</v>
      </c>
      <c r="AO12" s="358">
        <v>1</v>
      </c>
      <c r="AP12" s="33">
        <v>100</v>
      </c>
      <c r="AQ12" s="359" t="s">
        <v>707</v>
      </c>
      <c r="AR12" s="25">
        <v>0</v>
      </c>
      <c r="AS12" s="25">
        <v>10</v>
      </c>
      <c r="AT12" s="25">
        <v>45</v>
      </c>
      <c r="AU12" s="25">
        <v>45</v>
      </c>
      <c r="AV12" s="39" t="s">
        <v>744</v>
      </c>
      <c r="AW12" s="39" t="s">
        <v>745</v>
      </c>
      <c r="AX12" s="40" t="s">
        <v>746</v>
      </c>
      <c r="AY12" s="32">
        <v>513</v>
      </c>
      <c r="AZ12" s="39" t="s">
        <v>729</v>
      </c>
      <c r="BA12" s="40" t="s">
        <v>20</v>
      </c>
      <c r="BB12" s="360" t="s">
        <v>747</v>
      </c>
      <c r="BC12" s="398" t="s">
        <v>748</v>
      </c>
      <c r="BD12" s="399" t="s">
        <v>749</v>
      </c>
      <c r="BE12" s="391">
        <v>15691100.43</v>
      </c>
      <c r="BF12" s="363" t="s">
        <v>750</v>
      </c>
      <c r="BG12" s="364" t="s">
        <v>751</v>
      </c>
      <c r="BH12" s="365" t="s">
        <v>752</v>
      </c>
      <c r="BI12" s="365"/>
      <c r="BJ12" s="26" t="s">
        <v>753</v>
      </c>
      <c r="BK12" s="26" t="s">
        <v>754</v>
      </c>
      <c r="BL12" s="359">
        <v>0</v>
      </c>
      <c r="BM12" s="359">
        <v>0</v>
      </c>
      <c r="BN12" s="359">
        <v>0</v>
      </c>
      <c r="BO12" s="366">
        <f t="shared" si="2"/>
        <v>0</v>
      </c>
      <c r="BP12" s="367">
        <f t="shared" si="3"/>
        <v>0</v>
      </c>
      <c r="BQ12" s="359">
        <v>0</v>
      </c>
      <c r="BR12" s="359">
        <v>0</v>
      </c>
      <c r="BS12" s="359">
        <v>0</v>
      </c>
      <c r="BT12" s="366">
        <f t="shared" si="4"/>
        <v>0</v>
      </c>
      <c r="BU12" s="367">
        <f t="shared" si="5"/>
        <v>0</v>
      </c>
      <c r="BV12" s="359">
        <v>0</v>
      </c>
      <c r="BW12" s="359">
        <v>0</v>
      </c>
      <c r="BX12" s="359">
        <v>0</v>
      </c>
      <c r="BY12" s="366">
        <f t="shared" si="6"/>
        <v>0</v>
      </c>
      <c r="BZ12" s="367">
        <f t="shared" si="7"/>
        <v>0</v>
      </c>
      <c r="CA12" s="359">
        <v>0</v>
      </c>
      <c r="CB12" s="359">
        <v>0</v>
      </c>
      <c r="CC12" s="359">
        <v>0</v>
      </c>
      <c r="CD12" s="366">
        <f t="shared" si="8"/>
        <v>0</v>
      </c>
      <c r="CE12" s="367">
        <f t="shared" si="9"/>
        <v>0</v>
      </c>
      <c r="CF12" s="368">
        <f t="shared" si="10"/>
        <v>0</v>
      </c>
      <c r="CG12" s="359">
        <f t="shared" si="11"/>
        <v>0</v>
      </c>
      <c r="CH12" s="369"/>
      <c r="CI12" s="369"/>
      <c r="CJ12" s="370">
        <v>0</v>
      </c>
      <c r="CK12" s="370">
        <v>0</v>
      </c>
      <c r="CL12" s="372">
        <v>0</v>
      </c>
      <c r="CM12" s="374">
        <v>0</v>
      </c>
      <c r="CN12" s="374">
        <f t="shared" si="12"/>
        <v>0</v>
      </c>
      <c r="CO12" s="370">
        <f t="shared" si="13"/>
        <v>0</v>
      </c>
      <c r="CP12" s="370">
        <v>0</v>
      </c>
      <c r="CQ12" s="370">
        <v>0</v>
      </c>
      <c r="CR12" s="372">
        <v>0</v>
      </c>
      <c r="CS12" s="374">
        <v>0</v>
      </c>
      <c r="CT12" s="375">
        <f t="shared" si="14"/>
        <v>0</v>
      </c>
      <c r="CU12" s="370">
        <f t="shared" si="15"/>
        <v>0</v>
      </c>
      <c r="CV12" s="370">
        <v>0</v>
      </c>
      <c r="CW12" s="370">
        <v>0</v>
      </c>
      <c r="CX12" s="372">
        <v>0</v>
      </c>
      <c r="CY12" s="374">
        <v>15691100</v>
      </c>
      <c r="CZ12" s="375">
        <f t="shared" si="16"/>
        <v>0</v>
      </c>
      <c r="DA12" s="370">
        <f t="shared" si="17"/>
        <v>0</v>
      </c>
      <c r="DB12" s="370">
        <v>0</v>
      </c>
      <c r="DC12" s="370">
        <v>15691100</v>
      </c>
      <c r="DD12" s="372">
        <v>0</v>
      </c>
      <c r="DE12" s="374">
        <v>0</v>
      </c>
      <c r="DF12" s="375">
        <f t="shared" si="19"/>
        <v>15691100</v>
      </c>
      <c r="DG12" s="370">
        <f t="shared" si="20"/>
        <v>0.99999997259593099</v>
      </c>
      <c r="DH12" s="376">
        <f t="shared" si="21"/>
        <v>15691100</v>
      </c>
      <c r="DI12" s="376">
        <f t="shared" si="22"/>
        <v>15691100</v>
      </c>
      <c r="DJ12" s="370">
        <f t="shared" si="23"/>
        <v>0.99999997259593099</v>
      </c>
      <c r="DK12" s="370"/>
      <c r="DL12" s="377">
        <f t="shared" si="24"/>
        <v>15691100</v>
      </c>
      <c r="DM12" s="370">
        <f t="shared" si="25"/>
        <v>0</v>
      </c>
      <c r="DN12" s="370">
        <f t="shared" si="26"/>
        <v>0</v>
      </c>
      <c r="DO12" s="370">
        <f t="shared" si="27"/>
        <v>15691100</v>
      </c>
      <c r="DP12" s="370">
        <f t="shared" si="28"/>
        <v>0</v>
      </c>
      <c r="DQ12" s="378">
        <f t="shared" si="29"/>
        <v>15691100</v>
      </c>
      <c r="DR12" s="370">
        <f t="shared" si="30"/>
        <v>0</v>
      </c>
      <c r="DS12" s="370">
        <f t="shared" si="31"/>
        <v>0</v>
      </c>
      <c r="DT12" s="370">
        <f t="shared" si="32"/>
        <v>0</v>
      </c>
      <c r="DU12" s="370">
        <f t="shared" si="33"/>
        <v>15691100</v>
      </c>
      <c r="DW12" s="300">
        <v>0</v>
      </c>
      <c r="DX12" s="300" t="e">
        <v>#VALUE!</v>
      </c>
      <c r="DY12" s="300">
        <v>0</v>
      </c>
      <c r="DZ12" s="381">
        <f t="shared" si="34"/>
        <v>1412199.0386999999</v>
      </c>
      <c r="EA12" s="382">
        <v>60000000</v>
      </c>
      <c r="EB12" s="613" t="s">
        <v>1040</v>
      </c>
      <c r="EC12" s="280" t="s">
        <v>1176</v>
      </c>
    </row>
    <row r="13" spans="1:133" ht="155.25" hidden="1" customHeight="1">
      <c r="A13" s="80">
        <v>1</v>
      </c>
      <c r="B13" s="346" t="s">
        <v>6</v>
      </c>
      <c r="C13" s="82" t="s">
        <v>304</v>
      </c>
      <c r="D13" s="82" t="s">
        <v>305</v>
      </c>
      <c r="E13" s="346" t="s">
        <v>114</v>
      </c>
      <c r="F13" s="40" t="s">
        <v>306</v>
      </c>
      <c r="G13" s="346" t="s">
        <v>332</v>
      </c>
      <c r="H13" s="347" t="s">
        <v>335</v>
      </c>
      <c r="I13" s="347" t="s">
        <v>724</v>
      </c>
      <c r="J13" s="32">
        <v>30</v>
      </c>
      <c r="K13" s="348" t="s">
        <v>352</v>
      </c>
      <c r="L13" s="40" t="s">
        <v>743</v>
      </c>
      <c r="M13" s="40" t="s">
        <v>725</v>
      </c>
      <c r="N13" s="349" t="s">
        <v>11</v>
      </c>
      <c r="O13" s="350">
        <v>19</v>
      </c>
      <c r="P13" s="39" t="s">
        <v>19</v>
      </c>
      <c r="Q13" s="32">
        <v>1905</v>
      </c>
      <c r="R13" s="351">
        <v>1905024</v>
      </c>
      <c r="S13" s="352" t="s">
        <v>20</v>
      </c>
      <c r="T13" s="383" t="s">
        <v>339</v>
      </c>
      <c r="U13" s="351">
        <v>190502400</v>
      </c>
      <c r="V13" s="354" t="s">
        <v>21</v>
      </c>
      <c r="W13" s="355" t="s">
        <v>316</v>
      </c>
      <c r="X13" s="355"/>
      <c r="Y13" s="355"/>
      <c r="Z13" s="356">
        <f>BE13</f>
        <v>170000000</v>
      </c>
      <c r="AA13" s="396"/>
      <c r="AB13" s="355"/>
      <c r="AC13" s="355"/>
      <c r="AD13" s="355"/>
      <c r="AE13" s="355"/>
      <c r="AF13" s="355"/>
      <c r="AG13" s="355"/>
      <c r="AH13" s="396">
        <f t="shared" si="0"/>
        <v>170000000</v>
      </c>
      <c r="AI13" s="397" t="s">
        <v>127</v>
      </c>
      <c r="AJ13" s="80">
        <v>1</v>
      </c>
      <c r="AK13" s="80">
        <v>1</v>
      </c>
      <c r="AL13" s="80">
        <v>1</v>
      </c>
      <c r="AM13" s="80">
        <v>1</v>
      </c>
      <c r="AN13" s="80">
        <v>1</v>
      </c>
      <c r="AO13" s="358">
        <v>1</v>
      </c>
      <c r="AP13" s="33">
        <v>100</v>
      </c>
      <c r="AQ13" s="359" t="s">
        <v>707</v>
      </c>
      <c r="AR13" s="25">
        <v>0</v>
      </c>
      <c r="AS13" s="25">
        <v>10</v>
      </c>
      <c r="AT13" s="25">
        <v>45</v>
      </c>
      <c r="AU13" s="25">
        <v>45</v>
      </c>
      <c r="AV13" s="39" t="s">
        <v>744</v>
      </c>
      <c r="AW13" s="39" t="s">
        <v>745</v>
      </c>
      <c r="AX13" s="40" t="s">
        <v>755</v>
      </c>
      <c r="AY13" s="32">
        <v>514</v>
      </c>
      <c r="AZ13" s="39" t="s">
        <v>729</v>
      </c>
      <c r="BA13" s="40" t="s">
        <v>20</v>
      </c>
      <c r="BB13" s="360" t="s">
        <v>756</v>
      </c>
      <c r="BC13" s="398" t="s">
        <v>748</v>
      </c>
      <c r="BD13" s="399" t="s">
        <v>749</v>
      </c>
      <c r="BE13" s="391">
        <v>170000000</v>
      </c>
      <c r="BF13" s="363" t="s">
        <v>750</v>
      </c>
      <c r="BG13" s="364" t="s">
        <v>751</v>
      </c>
      <c r="BH13" s="365" t="s">
        <v>752</v>
      </c>
      <c r="BI13" s="365"/>
      <c r="BJ13" s="26" t="s">
        <v>753</v>
      </c>
      <c r="BK13" s="26" t="s">
        <v>754</v>
      </c>
      <c r="BL13" s="359">
        <v>0</v>
      </c>
      <c r="BM13" s="359">
        <v>0</v>
      </c>
      <c r="BN13" s="359">
        <v>0</v>
      </c>
      <c r="BO13" s="366">
        <f t="shared" si="2"/>
        <v>0</v>
      </c>
      <c r="BP13" s="367">
        <f t="shared" si="3"/>
        <v>0</v>
      </c>
      <c r="BQ13" s="359">
        <v>0</v>
      </c>
      <c r="BR13" s="359">
        <v>0</v>
      </c>
      <c r="BS13" s="359">
        <v>0</v>
      </c>
      <c r="BT13" s="366">
        <f t="shared" si="4"/>
        <v>0</v>
      </c>
      <c r="BU13" s="367">
        <f t="shared" si="5"/>
        <v>0</v>
      </c>
      <c r="BV13" s="359">
        <v>0</v>
      </c>
      <c r="BW13" s="359">
        <v>0</v>
      </c>
      <c r="BX13" s="359">
        <v>0</v>
      </c>
      <c r="BY13" s="366">
        <f t="shared" si="6"/>
        <v>0</v>
      </c>
      <c r="BZ13" s="367">
        <f t="shared" si="7"/>
        <v>0</v>
      </c>
      <c r="CA13" s="359">
        <v>0</v>
      </c>
      <c r="CB13" s="359">
        <v>0</v>
      </c>
      <c r="CC13" s="359">
        <v>0</v>
      </c>
      <c r="CD13" s="366">
        <f t="shared" si="8"/>
        <v>0</v>
      </c>
      <c r="CE13" s="367">
        <f t="shared" si="9"/>
        <v>0</v>
      </c>
      <c r="CF13" s="368">
        <f t="shared" si="10"/>
        <v>0</v>
      </c>
      <c r="CG13" s="359">
        <f t="shared" si="11"/>
        <v>0</v>
      </c>
      <c r="CH13" s="369"/>
      <c r="CI13" s="369"/>
      <c r="CJ13" s="370">
        <v>0</v>
      </c>
      <c r="CK13" s="370">
        <v>0</v>
      </c>
      <c r="CL13" s="372">
        <v>0</v>
      </c>
      <c r="CM13" s="374">
        <v>0</v>
      </c>
      <c r="CN13" s="374">
        <f t="shared" si="12"/>
        <v>0</v>
      </c>
      <c r="CO13" s="370">
        <f t="shared" si="13"/>
        <v>0</v>
      </c>
      <c r="CP13" s="370">
        <v>0</v>
      </c>
      <c r="CQ13" s="370">
        <v>0</v>
      </c>
      <c r="CR13" s="372">
        <v>0</v>
      </c>
      <c r="CS13" s="374">
        <v>0</v>
      </c>
      <c r="CT13" s="375">
        <f t="shared" si="14"/>
        <v>0</v>
      </c>
      <c r="CU13" s="370">
        <f t="shared" si="15"/>
        <v>0</v>
      </c>
      <c r="CV13" s="370">
        <v>0</v>
      </c>
      <c r="CW13" s="370">
        <v>0</v>
      </c>
      <c r="CX13" s="372">
        <v>0</v>
      </c>
      <c r="CY13" s="374">
        <v>170000000</v>
      </c>
      <c r="CZ13" s="375">
        <f t="shared" si="16"/>
        <v>0</v>
      </c>
      <c r="DA13" s="370">
        <f t="shared" si="17"/>
        <v>0</v>
      </c>
      <c r="DB13" s="370">
        <v>34452543</v>
      </c>
      <c r="DC13" s="370">
        <v>34299975</v>
      </c>
      <c r="DD13" s="372">
        <v>101247482</v>
      </c>
      <c r="DE13" s="374">
        <v>0</v>
      </c>
      <c r="DF13" s="375">
        <f t="shared" si="19"/>
        <v>170000000</v>
      </c>
      <c r="DG13" s="370">
        <f t="shared" si="20"/>
        <v>1</v>
      </c>
      <c r="DH13" s="376">
        <f t="shared" si="21"/>
        <v>170000000</v>
      </c>
      <c r="DI13" s="376">
        <f t="shared" si="22"/>
        <v>170000000</v>
      </c>
      <c r="DJ13" s="370">
        <f t="shared" si="23"/>
        <v>1</v>
      </c>
      <c r="DK13" s="370"/>
      <c r="DL13" s="377">
        <f t="shared" si="24"/>
        <v>170000000</v>
      </c>
      <c r="DM13" s="370">
        <f t="shared" si="25"/>
        <v>0</v>
      </c>
      <c r="DN13" s="370">
        <f t="shared" si="26"/>
        <v>0</v>
      </c>
      <c r="DO13" s="370">
        <f t="shared" si="27"/>
        <v>170000000</v>
      </c>
      <c r="DP13" s="370">
        <f t="shared" si="28"/>
        <v>0</v>
      </c>
      <c r="DQ13" s="378">
        <f t="shared" si="29"/>
        <v>170000000</v>
      </c>
      <c r="DR13" s="370">
        <f t="shared" si="30"/>
        <v>0</v>
      </c>
      <c r="DS13" s="370">
        <f t="shared" si="31"/>
        <v>0</v>
      </c>
      <c r="DT13" s="370">
        <f t="shared" si="32"/>
        <v>0</v>
      </c>
      <c r="DU13" s="370">
        <f t="shared" si="33"/>
        <v>170000000</v>
      </c>
      <c r="DW13" s="300">
        <v>0</v>
      </c>
      <c r="DX13" s="300" t="e">
        <v>#VALUE!</v>
      </c>
      <c r="DY13" s="300">
        <v>0</v>
      </c>
      <c r="DZ13" s="381">
        <f t="shared" si="34"/>
        <v>15300000</v>
      </c>
      <c r="EA13" s="599">
        <v>106141504.33</v>
      </c>
      <c r="EB13" s="400" t="s">
        <v>1178</v>
      </c>
      <c r="EC13" s="280" t="s">
        <v>1176</v>
      </c>
    </row>
    <row r="14" spans="1:133" ht="71.25" hidden="1" customHeight="1">
      <c r="A14" s="80">
        <v>1</v>
      </c>
      <c r="B14" s="346" t="s">
        <v>6</v>
      </c>
      <c r="C14" s="82" t="s">
        <v>304</v>
      </c>
      <c r="D14" s="82" t="s">
        <v>305</v>
      </c>
      <c r="E14" s="346" t="s">
        <v>114</v>
      </c>
      <c r="F14" s="40" t="s">
        <v>306</v>
      </c>
      <c r="G14" s="346" t="s">
        <v>332</v>
      </c>
      <c r="H14" s="347" t="s">
        <v>335</v>
      </c>
      <c r="I14" s="347" t="s">
        <v>724</v>
      </c>
      <c r="J14" s="32">
        <v>31</v>
      </c>
      <c r="K14" s="348" t="s">
        <v>757</v>
      </c>
      <c r="L14" s="40" t="s">
        <v>358</v>
      </c>
      <c r="M14" s="40" t="s">
        <v>725</v>
      </c>
      <c r="N14" s="349" t="s">
        <v>11</v>
      </c>
      <c r="O14" s="350">
        <v>19</v>
      </c>
      <c r="P14" s="39" t="s">
        <v>23</v>
      </c>
      <c r="Q14" s="32">
        <v>1903</v>
      </c>
      <c r="R14" s="351" t="s">
        <v>25</v>
      </c>
      <c r="S14" s="352" t="s">
        <v>24</v>
      </c>
      <c r="T14" s="383" t="s">
        <v>359</v>
      </c>
      <c r="U14" s="351" t="s">
        <v>360</v>
      </c>
      <c r="V14" s="354" t="s">
        <v>26</v>
      </c>
      <c r="W14" s="355" t="s">
        <v>316</v>
      </c>
      <c r="X14" s="385">
        <f t="shared" ref="X14:X19" si="38">BE14</f>
        <v>42400000</v>
      </c>
      <c r="Y14" s="355"/>
      <c r="Z14" s="355"/>
      <c r="AA14" s="355"/>
      <c r="AB14" s="355"/>
      <c r="AC14" s="355"/>
      <c r="AD14" s="355"/>
      <c r="AE14" s="355"/>
      <c r="AF14" s="355"/>
      <c r="AG14" s="355"/>
      <c r="AH14" s="356">
        <f>SUM(X14:AG14)</f>
        <v>42400000</v>
      </c>
      <c r="AI14" s="397" t="s">
        <v>758</v>
      </c>
      <c r="AJ14" s="80" t="s">
        <v>759</v>
      </c>
      <c r="AK14" s="80">
        <v>12</v>
      </c>
      <c r="AL14" s="80">
        <v>12</v>
      </c>
      <c r="AM14" s="80">
        <v>12</v>
      </c>
      <c r="AN14" s="80">
        <v>12</v>
      </c>
      <c r="AO14" s="401">
        <v>1</v>
      </c>
      <c r="AP14" s="33">
        <v>100</v>
      </c>
      <c r="AQ14" s="359" t="s">
        <v>707</v>
      </c>
      <c r="AR14" s="25">
        <v>0</v>
      </c>
      <c r="AS14" s="25">
        <v>30</v>
      </c>
      <c r="AT14" s="25">
        <v>30</v>
      </c>
      <c r="AU14" s="25">
        <v>40</v>
      </c>
      <c r="AV14" s="392" t="s">
        <v>726</v>
      </c>
      <c r="AW14" s="392" t="s">
        <v>760</v>
      </c>
      <c r="AX14" s="39" t="s">
        <v>761</v>
      </c>
      <c r="AY14" s="25">
        <v>372</v>
      </c>
      <c r="AZ14" s="39" t="s">
        <v>762</v>
      </c>
      <c r="BA14" s="40" t="s">
        <v>24</v>
      </c>
      <c r="BB14" s="360" t="s">
        <v>730</v>
      </c>
      <c r="BC14" s="361" t="s">
        <v>683</v>
      </c>
      <c r="BD14" s="40" t="s">
        <v>731</v>
      </c>
      <c r="BE14" s="402">
        <v>42400000</v>
      </c>
      <c r="BF14" s="363" t="s">
        <v>763</v>
      </c>
      <c r="BG14" s="403" t="s">
        <v>764</v>
      </c>
      <c r="BH14" s="365" t="s">
        <v>752</v>
      </c>
      <c r="BI14" s="365"/>
      <c r="BJ14" s="26" t="s">
        <v>765</v>
      </c>
      <c r="BK14" s="26" t="s">
        <v>766</v>
      </c>
      <c r="BL14" s="359">
        <v>0</v>
      </c>
      <c r="BM14" s="359">
        <v>0</v>
      </c>
      <c r="BN14" s="359">
        <v>0</v>
      </c>
      <c r="BO14" s="366">
        <f t="shared" si="2"/>
        <v>0</v>
      </c>
      <c r="BP14" s="367">
        <f t="shared" si="3"/>
        <v>0</v>
      </c>
      <c r="BQ14" s="359">
        <v>0</v>
      </c>
      <c r="BR14" s="359">
        <v>12.5</v>
      </c>
      <c r="BS14" s="359">
        <v>12.5</v>
      </c>
      <c r="BT14" s="366">
        <f t="shared" si="4"/>
        <v>25</v>
      </c>
      <c r="BU14" s="367">
        <f t="shared" si="5"/>
        <v>0.25</v>
      </c>
      <c r="BV14" s="359">
        <v>12.5</v>
      </c>
      <c r="BW14" s="359">
        <v>12.5</v>
      </c>
      <c r="BX14" s="359">
        <v>12.5</v>
      </c>
      <c r="BY14" s="366">
        <f t="shared" si="6"/>
        <v>37.5</v>
      </c>
      <c r="BZ14" s="367">
        <f t="shared" si="7"/>
        <v>0.375</v>
      </c>
      <c r="CA14" s="359">
        <v>0</v>
      </c>
      <c r="CB14" s="359">
        <v>0</v>
      </c>
      <c r="CC14" s="359">
        <v>0</v>
      </c>
      <c r="CD14" s="366">
        <f t="shared" si="8"/>
        <v>0</v>
      </c>
      <c r="CE14" s="367">
        <f t="shared" si="9"/>
        <v>0</v>
      </c>
      <c r="CF14" s="368">
        <f t="shared" si="10"/>
        <v>62.5</v>
      </c>
      <c r="CG14" s="359">
        <f>CF14/AP14</f>
        <v>0.625</v>
      </c>
      <c r="CH14" s="369"/>
      <c r="CI14" s="369"/>
      <c r="CJ14" s="370">
        <v>0</v>
      </c>
      <c r="CK14" s="370">
        <v>0</v>
      </c>
      <c r="CL14" s="370">
        <v>0</v>
      </c>
      <c r="CM14" s="404">
        <v>0</v>
      </c>
      <c r="CN14" s="374">
        <f t="shared" si="12"/>
        <v>0</v>
      </c>
      <c r="CO14" s="370">
        <f>CN14/BE14</f>
        <v>0</v>
      </c>
      <c r="CP14" s="370">
        <v>0</v>
      </c>
      <c r="CQ14" s="370">
        <v>0</v>
      </c>
      <c r="CR14" s="372">
        <v>5300000</v>
      </c>
      <c r="CS14" s="374">
        <v>42400000</v>
      </c>
      <c r="CT14" s="375">
        <f t="shared" si="14"/>
        <v>5300000</v>
      </c>
      <c r="CU14" s="370">
        <f>CT14/BE14</f>
        <v>0.125</v>
      </c>
      <c r="CV14" s="370">
        <v>5300000</v>
      </c>
      <c r="CW14" s="370">
        <v>5300000</v>
      </c>
      <c r="CX14" s="370">
        <v>5300000</v>
      </c>
      <c r="CY14" s="374">
        <v>0</v>
      </c>
      <c r="CZ14" s="375">
        <f t="shared" si="16"/>
        <v>15900000</v>
      </c>
      <c r="DA14" s="370">
        <f>CZ14/BE14</f>
        <v>0.375</v>
      </c>
      <c r="DB14" s="370">
        <v>5300000</v>
      </c>
      <c r="DC14" s="370">
        <v>5300000</v>
      </c>
      <c r="DD14" s="370">
        <v>10600000</v>
      </c>
      <c r="DE14" s="374">
        <v>0</v>
      </c>
      <c r="DF14" s="375">
        <f t="shared" si="19"/>
        <v>21200000</v>
      </c>
      <c r="DG14" s="370">
        <f>DF14/BE14</f>
        <v>0.5</v>
      </c>
      <c r="DH14" s="376">
        <f t="shared" si="21"/>
        <v>42400000</v>
      </c>
      <c r="DI14" s="376">
        <f t="shared" si="22"/>
        <v>42400000</v>
      </c>
      <c r="DJ14" s="370">
        <f>DH14/BE14</f>
        <v>1</v>
      </c>
      <c r="DK14" s="370"/>
      <c r="DL14" s="377">
        <f t="shared" si="24"/>
        <v>42400000</v>
      </c>
      <c r="DM14" s="370">
        <f t="shared" si="25"/>
        <v>0</v>
      </c>
      <c r="DN14" s="370">
        <f t="shared" si="26"/>
        <v>42400000</v>
      </c>
      <c r="DO14" s="370">
        <f t="shared" si="27"/>
        <v>0</v>
      </c>
      <c r="DP14" s="370">
        <f t="shared" si="28"/>
        <v>0</v>
      </c>
      <c r="DQ14" s="378">
        <f t="shared" si="29"/>
        <v>42400000</v>
      </c>
      <c r="DR14" s="370">
        <f t="shared" si="30"/>
        <v>0</v>
      </c>
      <c r="DS14" s="370">
        <f t="shared" si="31"/>
        <v>5300000</v>
      </c>
      <c r="DT14" s="370">
        <f t="shared" si="32"/>
        <v>15900000</v>
      </c>
      <c r="DU14" s="370">
        <f t="shared" si="33"/>
        <v>21200000</v>
      </c>
      <c r="DW14" s="300">
        <v>0</v>
      </c>
      <c r="DX14" s="300" t="e">
        <v>#VALUE!</v>
      </c>
      <c r="DY14" s="300">
        <v>0</v>
      </c>
      <c r="DZ14" s="381">
        <f t="shared" si="34"/>
        <v>3816000</v>
      </c>
      <c r="EA14" s="382">
        <f t="shared" si="35"/>
        <v>46216000</v>
      </c>
      <c r="EB14" s="608"/>
      <c r="EC14" s="280" t="s">
        <v>1176</v>
      </c>
    </row>
    <row r="15" spans="1:133" ht="94.5" hidden="1" customHeight="1">
      <c r="A15" s="80">
        <v>1</v>
      </c>
      <c r="B15" s="346" t="s">
        <v>6</v>
      </c>
      <c r="C15" s="82" t="s">
        <v>304</v>
      </c>
      <c r="D15" s="82" t="s">
        <v>305</v>
      </c>
      <c r="E15" s="346" t="s">
        <v>114</v>
      </c>
      <c r="F15" s="40" t="s">
        <v>306</v>
      </c>
      <c r="G15" s="346" t="s">
        <v>364</v>
      </c>
      <c r="H15" s="32" t="s">
        <v>368</v>
      </c>
      <c r="I15" s="32" t="s">
        <v>767</v>
      </c>
      <c r="J15" s="32">
        <v>32</v>
      </c>
      <c r="K15" s="348" t="s">
        <v>370</v>
      </c>
      <c r="L15" s="40" t="s">
        <v>371</v>
      </c>
      <c r="M15" s="40" t="s">
        <v>768</v>
      </c>
      <c r="N15" s="349" t="s">
        <v>11</v>
      </c>
      <c r="O15" s="350">
        <v>19</v>
      </c>
      <c r="P15" s="39" t="s">
        <v>19</v>
      </c>
      <c r="Q15" s="32">
        <v>1905</v>
      </c>
      <c r="R15" s="351">
        <v>1905031</v>
      </c>
      <c r="S15" s="39" t="s">
        <v>33</v>
      </c>
      <c r="T15" s="39" t="s">
        <v>372</v>
      </c>
      <c r="U15" s="351">
        <v>190503100</v>
      </c>
      <c r="V15" s="40" t="s">
        <v>34</v>
      </c>
      <c r="W15" s="355" t="s">
        <v>316</v>
      </c>
      <c r="X15" s="384">
        <f t="shared" si="38"/>
        <v>31939920</v>
      </c>
      <c r="Y15" s="355"/>
      <c r="Z15" s="355"/>
      <c r="AA15" s="355"/>
      <c r="AB15" s="355"/>
      <c r="AC15" s="355"/>
      <c r="AD15" s="355"/>
      <c r="AE15" s="355"/>
      <c r="AF15" s="355"/>
      <c r="AG15" s="355"/>
      <c r="AH15" s="668">
        <f t="shared" si="0"/>
        <v>31939920</v>
      </c>
      <c r="AI15" s="357" t="s">
        <v>166</v>
      </c>
      <c r="AJ15" s="80">
        <v>1</v>
      </c>
      <c r="AK15" s="80">
        <v>1</v>
      </c>
      <c r="AL15" s="80">
        <v>1</v>
      </c>
      <c r="AM15" s="80">
        <v>1</v>
      </c>
      <c r="AN15" s="80">
        <v>1</v>
      </c>
      <c r="AO15" s="358">
        <v>1</v>
      </c>
      <c r="AP15" s="33">
        <f t="shared" si="1"/>
        <v>15</v>
      </c>
      <c r="AQ15" s="359" t="s">
        <v>316</v>
      </c>
      <c r="AR15" s="25">
        <v>0</v>
      </c>
      <c r="AS15" s="25">
        <v>3</v>
      </c>
      <c r="AT15" s="25">
        <v>7</v>
      </c>
      <c r="AU15" s="25">
        <v>5</v>
      </c>
      <c r="AV15" s="392" t="s">
        <v>739</v>
      </c>
      <c r="AW15" s="392" t="s">
        <v>769</v>
      </c>
      <c r="AX15" s="39" t="s">
        <v>770</v>
      </c>
      <c r="AY15" s="25">
        <v>395</v>
      </c>
      <c r="AZ15" s="39" t="s">
        <v>729</v>
      </c>
      <c r="BA15" s="40" t="s">
        <v>33</v>
      </c>
      <c r="BB15" s="360" t="s">
        <v>730</v>
      </c>
      <c r="BC15" s="361" t="s">
        <v>683</v>
      </c>
      <c r="BD15" s="40" t="s">
        <v>731</v>
      </c>
      <c r="BE15" s="391">
        <v>31939920</v>
      </c>
      <c r="BF15" s="363" t="s">
        <v>771</v>
      </c>
      <c r="BG15" s="364" t="s">
        <v>772</v>
      </c>
      <c r="BH15" s="365" t="s">
        <v>773</v>
      </c>
      <c r="BI15" s="365"/>
      <c r="BJ15" s="26" t="s">
        <v>774</v>
      </c>
      <c r="BK15" s="26" t="s">
        <v>775</v>
      </c>
      <c r="BL15" s="359">
        <v>0</v>
      </c>
      <c r="BM15" s="359">
        <v>0</v>
      </c>
      <c r="BN15" s="359">
        <v>0</v>
      </c>
      <c r="BO15" s="366">
        <f t="shared" si="2"/>
        <v>0</v>
      </c>
      <c r="BP15" s="367">
        <f t="shared" si="3"/>
        <v>0</v>
      </c>
      <c r="BQ15" s="359">
        <v>0</v>
      </c>
      <c r="BR15" s="359">
        <v>2</v>
      </c>
      <c r="BS15" s="359">
        <v>2</v>
      </c>
      <c r="BT15" s="366">
        <f t="shared" si="4"/>
        <v>4</v>
      </c>
      <c r="BU15" s="367">
        <f t="shared" si="5"/>
        <v>0.26666666666666666</v>
      </c>
      <c r="BV15" s="359">
        <v>4</v>
      </c>
      <c r="BW15" s="359">
        <v>2</v>
      </c>
      <c r="BX15" s="359">
        <v>3</v>
      </c>
      <c r="BY15" s="366">
        <f t="shared" si="6"/>
        <v>9</v>
      </c>
      <c r="BZ15" s="367">
        <f t="shared" si="7"/>
        <v>0.6</v>
      </c>
      <c r="CA15" s="359">
        <v>0</v>
      </c>
      <c r="CB15" s="359">
        <v>0</v>
      </c>
      <c r="CC15" s="359">
        <v>0</v>
      </c>
      <c r="CD15" s="366">
        <f t="shared" si="8"/>
        <v>0</v>
      </c>
      <c r="CE15" s="367">
        <f t="shared" si="9"/>
        <v>0</v>
      </c>
      <c r="CF15" s="368">
        <f t="shared" si="10"/>
        <v>13</v>
      </c>
      <c r="CG15" s="359">
        <f t="shared" si="11"/>
        <v>0.8666666666666667</v>
      </c>
      <c r="CH15" s="369"/>
      <c r="CI15" s="369"/>
      <c r="CJ15" s="370">
        <v>0</v>
      </c>
      <c r="CK15" s="370">
        <v>0</v>
      </c>
      <c r="CL15" s="370">
        <v>0</v>
      </c>
      <c r="CM15" s="394">
        <v>31939920</v>
      </c>
      <c r="CN15" s="374">
        <f t="shared" si="12"/>
        <v>0</v>
      </c>
      <c r="CO15" s="370">
        <f t="shared" si="13"/>
        <v>0</v>
      </c>
      <c r="CP15" s="370">
        <v>0</v>
      </c>
      <c r="CQ15" s="370">
        <v>0</v>
      </c>
      <c r="CR15" s="372">
        <v>4258656</v>
      </c>
      <c r="CS15" s="374">
        <v>0</v>
      </c>
      <c r="CT15" s="375">
        <f t="shared" si="14"/>
        <v>4258656</v>
      </c>
      <c r="CU15" s="370">
        <f t="shared" si="15"/>
        <v>0.13333333333333333</v>
      </c>
      <c r="CV15" s="372">
        <v>4258656</v>
      </c>
      <c r="CW15" s="370">
        <v>8517312</v>
      </c>
      <c r="CX15" s="372">
        <v>4258656</v>
      </c>
      <c r="CY15" s="374">
        <v>0</v>
      </c>
      <c r="CZ15" s="375">
        <f t="shared" si="16"/>
        <v>17034624</v>
      </c>
      <c r="DA15" s="370">
        <f t="shared" si="17"/>
        <v>0.53333333333333333</v>
      </c>
      <c r="DB15" s="405">
        <v>6723346.8899999997</v>
      </c>
      <c r="DC15" s="370">
        <v>3923293.11</v>
      </c>
      <c r="DD15" s="372">
        <v>0</v>
      </c>
      <c r="DE15" s="374">
        <v>0</v>
      </c>
      <c r="DF15" s="375">
        <f t="shared" si="19"/>
        <v>10646640</v>
      </c>
      <c r="DG15" s="370">
        <f t="shared" si="20"/>
        <v>0.33333333333333331</v>
      </c>
      <c r="DH15" s="376">
        <f t="shared" si="21"/>
        <v>31939920</v>
      </c>
      <c r="DI15" s="376">
        <f t="shared" si="22"/>
        <v>31939920</v>
      </c>
      <c r="DJ15" s="370">
        <f t="shared" si="23"/>
        <v>1</v>
      </c>
      <c r="DK15" s="370"/>
      <c r="DL15" s="377">
        <f t="shared" si="24"/>
        <v>31939920</v>
      </c>
      <c r="DM15" s="370">
        <f t="shared" si="25"/>
        <v>31939920</v>
      </c>
      <c r="DN15" s="370">
        <f t="shared" si="26"/>
        <v>0</v>
      </c>
      <c r="DO15" s="370">
        <f t="shared" si="27"/>
        <v>0</v>
      </c>
      <c r="DP15" s="370">
        <f t="shared" si="28"/>
        <v>0</v>
      </c>
      <c r="DQ15" s="378">
        <f t="shared" si="29"/>
        <v>31939920</v>
      </c>
      <c r="DR15" s="370">
        <f t="shared" si="30"/>
        <v>0</v>
      </c>
      <c r="DS15" s="370">
        <f t="shared" si="31"/>
        <v>4258656</v>
      </c>
      <c r="DT15" s="370">
        <f t="shared" si="32"/>
        <v>17034624</v>
      </c>
      <c r="DU15" s="370">
        <f t="shared" si="33"/>
        <v>10646640</v>
      </c>
      <c r="DW15" s="370">
        <v>8517312</v>
      </c>
      <c r="DX15" s="372">
        <v>4258656</v>
      </c>
      <c r="DY15" s="300">
        <v>0</v>
      </c>
      <c r="DZ15" s="381">
        <f t="shared" si="34"/>
        <v>2874592.8</v>
      </c>
      <c r="EA15" s="382">
        <f t="shared" si="35"/>
        <v>34814512.799999997</v>
      </c>
      <c r="EB15" s="608"/>
    </row>
    <row r="16" spans="1:133" ht="106.5" hidden="1" customHeight="1">
      <c r="A16" s="80">
        <v>1</v>
      </c>
      <c r="B16" s="346" t="s">
        <v>6</v>
      </c>
      <c r="C16" s="82" t="s">
        <v>304</v>
      </c>
      <c r="D16" s="82" t="s">
        <v>305</v>
      </c>
      <c r="E16" s="346" t="s">
        <v>114</v>
      </c>
      <c r="F16" s="40" t="s">
        <v>306</v>
      </c>
      <c r="G16" s="346" t="s">
        <v>364</v>
      </c>
      <c r="H16" s="32" t="s">
        <v>368</v>
      </c>
      <c r="I16" s="32" t="s">
        <v>767</v>
      </c>
      <c r="J16" s="32">
        <v>32</v>
      </c>
      <c r="K16" s="348" t="s">
        <v>370</v>
      </c>
      <c r="L16" s="40" t="s">
        <v>371</v>
      </c>
      <c r="M16" s="40" t="s">
        <v>768</v>
      </c>
      <c r="N16" s="349" t="s">
        <v>11</v>
      </c>
      <c r="O16" s="350">
        <v>19</v>
      </c>
      <c r="P16" s="39" t="s">
        <v>19</v>
      </c>
      <c r="Q16" s="32">
        <v>1905</v>
      </c>
      <c r="R16" s="351">
        <v>1905031</v>
      </c>
      <c r="S16" s="39" t="s">
        <v>33</v>
      </c>
      <c r="T16" s="39" t="s">
        <v>372</v>
      </c>
      <c r="U16" s="351">
        <v>190503100</v>
      </c>
      <c r="V16" s="40" t="s">
        <v>34</v>
      </c>
      <c r="W16" s="355" t="s">
        <v>316</v>
      </c>
      <c r="X16" s="406">
        <f t="shared" si="38"/>
        <v>21995000</v>
      </c>
      <c r="Y16" s="355"/>
      <c r="Z16" s="355"/>
      <c r="AA16" s="355"/>
      <c r="AB16" s="355"/>
      <c r="AC16" s="355"/>
      <c r="AD16" s="355"/>
      <c r="AE16" s="355"/>
      <c r="AF16" s="355"/>
      <c r="AG16" s="355"/>
      <c r="AH16" s="669"/>
      <c r="AI16" s="407" t="s">
        <v>167</v>
      </c>
      <c r="AJ16" s="80">
        <v>1</v>
      </c>
      <c r="AK16" s="80">
        <v>1</v>
      </c>
      <c r="AL16" s="80">
        <v>1</v>
      </c>
      <c r="AM16" s="80">
        <v>1</v>
      </c>
      <c r="AN16" s="80">
        <v>1</v>
      </c>
      <c r="AO16" s="358">
        <v>1</v>
      </c>
      <c r="AP16" s="33">
        <f t="shared" si="1"/>
        <v>4500</v>
      </c>
      <c r="AQ16" s="359" t="s">
        <v>316</v>
      </c>
      <c r="AR16" s="25">
        <v>0</v>
      </c>
      <c r="AS16" s="25">
        <v>500</v>
      </c>
      <c r="AT16" s="25">
        <v>2000</v>
      </c>
      <c r="AU16" s="25">
        <v>2000</v>
      </c>
      <c r="AV16" s="392" t="s">
        <v>739</v>
      </c>
      <c r="AW16" s="392" t="s">
        <v>769</v>
      </c>
      <c r="AX16" s="39" t="s">
        <v>770</v>
      </c>
      <c r="AY16" s="25">
        <v>395</v>
      </c>
      <c r="AZ16" s="39" t="s">
        <v>729</v>
      </c>
      <c r="BA16" s="40" t="s">
        <v>33</v>
      </c>
      <c r="BB16" s="360" t="s">
        <v>730</v>
      </c>
      <c r="BC16" s="361" t="s">
        <v>683</v>
      </c>
      <c r="BD16" s="40" t="s">
        <v>731</v>
      </c>
      <c r="BE16" s="402">
        <v>21995000</v>
      </c>
      <c r="BF16" s="363" t="s">
        <v>771</v>
      </c>
      <c r="BG16" s="364" t="s">
        <v>772</v>
      </c>
      <c r="BH16" s="365" t="s">
        <v>773</v>
      </c>
      <c r="BI16" s="365"/>
      <c r="BJ16" s="26" t="s">
        <v>774</v>
      </c>
      <c r="BK16" s="26" t="s">
        <v>775</v>
      </c>
      <c r="BL16" s="359">
        <v>0</v>
      </c>
      <c r="BM16" s="359">
        <v>0</v>
      </c>
      <c r="BN16" s="359">
        <v>0</v>
      </c>
      <c r="BO16" s="366">
        <f t="shared" si="2"/>
        <v>0</v>
      </c>
      <c r="BP16" s="367">
        <f t="shared" si="3"/>
        <v>0</v>
      </c>
      <c r="BQ16" s="359">
        <v>67</v>
      </c>
      <c r="BR16" s="359">
        <v>603</v>
      </c>
      <c r="BS16" s="359">
        <v>849</v>
      </c>
      <c r="BT16" s="366">
        <f t="shared" si="4"/>
        <v>1519</v>
      </c>
      <c r="BU16" s="367">
        <f t="shared" si="5"/>
        <v>0.33755555555555555</v>
      </c>
      <c r="BV16" s="359">
        <v>786</v>
      </c>
      <c r="BW16" s="359">
        <v>898</v>
      </c>
      <c r="BX16" s="359">
        <v>751</v>
      </c>
      <c r="BY16" s="366">
        <f t="shared" si="6"/>
        <v>2435</v>
      </c>
      <c r="BZ16" s="367">
        <f t="shared" si="7"/>
        <v>0.5411111111111111</v>
      </c>
      <c r="CA16" s="359">
        <v>0</v>
      </c>
      <c r="CB16" s="359">
        <v>0</v>
      </c>
      <c r="CC16" s="359">
        <v>0</v>
      </c>
      <c r="CD16" s="366">
        <f t="shared" si="8"/>
        <v>0</v>
      </c>
      <c r="CE16" s="367">
        <f t="shared" si="9"/>
        <v>0</v>
      </c>
      <c r="CF16" s="368">
        <f t="shared" si="10"/>
        <v>3954</v>
      </c>
      <c r="CG16" s="359">
        <f t="shared" si="11"/>
        <v>0.87866666666666671</v>
      </c>
      <c r="CH16" s="369"/>
      <c r="CI16" s="369"/>
      <c r="CJ16" s="370">
        <v>0</v>
      </c>
      <c r="CK16" s="370">
        <v>0</v>
      </c>
      <c r="CL16" s="370">
        <v>0</v>
      </c>
      <c r="CM16" s="404">
        <v>21995000</v>
      </c>
      <c r="CN16" s="374">
        <f t="shared" si="12"/>
        <v>0</v>
      </c>
      <c r="CO16" s="370">
        <f t="shared" si="13"/>
        <v>0</v>
      </c>
      <c r="CP16" s="370">
        <v>0</v>
      </c>
      <c r="CQ16" s="370">
        <v>327481.11111111107</v>
      </c>
      <c r="CR16" s="372">
        <v>2947329.9999999995</v>
      </c>
      <c r="CS16" s="374">
        <v>0</v>
      </c>
      <c r="CT16" s="375">
        <f t="shared" si="14"/>
        <v>3274811.1111111105</v>
      </c>
      <c r="CU16" s="370">
        <f t="shared" si="15"/>
        <v>0.14888888888888888</v>
      </c>
      <c r="CV16" s="372">
        <v>4149723.333333333</v>
      </c>
      <c r="CW16" s="370">
        <v>3841793.333333333</v>
      </c>
      <c r="CX16" s="372">
        <v>4389224.46</v>
      </c>
      <c r="CY16" s="374">
        <v>0</v>
      </c>
      <c r="CZ16" s="375">
        <f t="shared" si="16"/>
        <v>12380741.126666665</v>
      </c>
      <c r="DA16" s="370">
        <f t="shared" si="17"/>
        <v>0.56288888959612027</v>
      </c>
      <c r="DB16" s="405">
        <v>3670721.111111111</v>
      </c>
      <c r="DC16" s="370">
        <v>1549425.5555555555</v>
      </c>
      <c r="DD16" s="372">
        <v>1119301.1100000001</v>
      </c>
      <c r="DE16" s="374">
        <v>0</v>
      </c>
      <c r="DF16" s="375">
        <f t="shared" si="19"/>
        <v>6339447.7766666664</v>
      </c>
      <c r="DG16" s="370">
        <f t="shared" si="20"/>
        <v>0.28822222217170568</v>
      </c>
      <c r="DH16" s="376">
        <f t="shared" si="21"/>
        <v>21995000</v>
      </c>
      <c r="DI16" s="376">
        <f t="shared" si="22"/>
        <v>21995000.014444441</v>
      </c>
      <c r="DJ16" s="370">
        <f t="shared" si="23"/>
        <v>1</v>
      </c>
      <c r="DK16" s="370"/>
      <c r="DL16" s="377">
        <f t="shared" si="24"/>
        <v>21995000</v>
      </c>
      <c r="DM16" s="370">
        <f t="shared" si="25"/>
        <v>21995000</v>
      </c>
      <c r="DN16" s="370">
        <f t="shared" si="26"/>
        <v>0</v>
      </c>
      <c r="DO16" s="370">
        <f t="shared" si="27"/>
        <v>0</v>
      </c>
      <c r="DP16" s="370">
        <f t="shared" si="28"/>
        <v>0</v>
      </c>
      <c r="DQ16" s="378">
        <f t="shared" si="29"/>
        <v>21995000.014444441</v>
      </c>
      <c r="DR16" s="370">
        <f t="shared" si="30"/>
        <v>0</v>
      </c>
      <c r="DS16" s="370">
        <f t="shared" si="31"/>
        <v>3274811.1111111105</v>
      </c>
      <c r="DT16" s="370">
        <f t="shared" si="32"/>
        <v>12380741.126666665</v>
      </c>
      <c r="DU16" s="370">
        <f t="shared" si="33"/>
        <v>6339447.7766666664</v>
      </c>
      <c r="DW16" s="370">
        <v>3841793.333333333</v>
      </c>
      <c r="DX16" s="372">
        <v>4389224.46</v>
      </c>
      <c r="DY16" s="300">
        <v>0</v>
      </c>
      <c r="DZ16" s="381">
        <f t="shared" si="34"/>
        <v>1979550</v>
      </c>
      <c r="EA16" s="382">
        <f t="shared" si="35"/>
        <v>23974550</v>
      </c>
      <c r="EB16" s="608"/>
    </row>
    <row r="17" spans="1:132" ht="177" hidden="1" customHeight="1">
      <c r="A17" s="80">
        <v>1</v>
      </c>
      <c r="B17" s="346" t="s">
        <v>6</v>
      </c>
      <c r="C17" s="82" t="s">
        <v>304</v>
      </c>
      <c r="D17" s="82" t="s">
        <v>305</v>
      </c>
      <c r="E17" s="346" t="s">
        <v>114</v>
      </c>
      <c r="F17" s="40" t="s">
        <v>306</v>
      </c>
      <c r="G17" s="346" t="s">
        <v>364</v>
      </c>
      <c r="H17" s="32" t="s">
        <v>368</v>
      </c>
      <c r="I17" s="32" t="s">
        <v>767</v>
      </c>
      <c r="J17" s="32">
        <v>32</v>
      </c>
      <c r="K17" s="348" t="s">
        <v>370</v>
      </c>
      <c r="L17" s="40" t="s">
        <v>371</v>
      </c>
      <c r="M17" s="40" t="s">
        <v>768</v>
      </c>
      <c r="N17" s="349" t="s">
        <v>11</v>
      </c>
      <c r="O17" s="350">
        <v>19</v>
      </c>
      <c r="P17" s="39" t="s">
        <v>19</v>
      </c>
      <c r="Q17" s="32">
        <v>1905</v>
      </c>
      <c r="R17" s="351">
        <v>1905031</v>
      </c>
      <c r="S17" s="39" t="s">
        <v>33</v>
      </c>
      <c r="T17" s="39" t="s">
        <v>372</v>
      </c>
      <c r="U17" s="351">
        <v>190503100</v>
      </c>
      <c r="V17" s="40" t="s">
        <v>34</v>
      </c>
      <c r="W17" s="355" t="s">
        <v>316</v>
      </c>
      <c r="X17" s="406">
        <f t="shared" si="38"/>
        <v>7055360</v>
      </c>
      <c r="Y17" s="355"/>
      <c r="Z17" s="355"/>
      <c r="AA17" s="355"/>
      <c r="AB17" s="355"/>
      <c r="AC17" s="355"/>
      <c r="AD17" s="355"/>
      <c r="AE17" s="355"/>
      <c r="AF17" s="355"/>
      <c r="AG17" s="355"/>
      <c r="AH17" s="669"/>
      <c r="AI17" s="357" t="s">
        <v>168</v>
      </c>
      <c r="AJ17" s="80">
        <v>1</v>
      </c>
      <c r="AK17" s="80">
        <v>1</v>
      </c>
      <c r="AL17" s="80">
        <v>1</v>
      </c>
      <c r="AM17" s="80">
        <v>1</v>
      </c>
      <c r="AN17" s="80">
        <v>1</v>
      </c>
      <c r="AO17" s="358">
        <v>1</v>
      </c>
      <c r="AP17" s="33">
        <f t="shared" si="1"/>
        <v>15</v>
      </c>
      <c r="AQ17" s="359" t="s">
        <v>316</v>
      </c>
      <c r="AR17" s="25">
        <v>0</v>
      </c>
      <c r="AS17" s="25">
        <v>4</v>
      </c>
      <c r="AT17" s="25">
        <v>8</v>
      </c>
      <c r="AU17" s="25">
        <v>3</v>
      </c>
      <c r="AV17" s="392" t="s">
        <v>739</v>
      </c>
      <c r="AW17" s="392" t="s">
        <v>769</v>
      </c>
      <c r="AX17" s="39" t="s">
        <v>770</v>
      </c>
      <c r="AY17" s="25">
        <v>395</v>
      </c>
      <c r="AZ17" s="39" t="s">
        <v>729</v>
      </c>
      <c r="BA17" s="40" t="s">
        <v>33</v>
      </c>
      <c r="BB17" s="360" t="s">
        <v>730</v>
      </c>
      <c r="BC17" s="361" t="s">
        <v>683</v>
      </c>
      <c r="BD17" s="40" t="s">
        <v>731</v>
      </c>
      <c r="BE17" s="391">
        <v>7055360</v>
      </c>
      <c r="BF17" s="363" t="s">
        <v>771</v>
      </c>
      <c r="BG17" s="364" t="s">
        <v>772</v>
      </c>
      <c r="BH17" s="365" t="s">
        <v>773</v>
      </c>
      <c r="BI17" s="365"/>
      <c r="BJ17" s="26" t="s">
        <v>774</v>
      </c>
      <c r="BK17" s="26" t="s">
        <v>775</v>
      </c>
      <c r="BL17" s="359">
        <v>0</v>
      </c>
      <c r="BM17" s="359">
        <v>0</v>
      </c>
      <c r="BN17" s="359">
        <v>0</v>
      </c>
      <c r="BO17" s="366">
        <f t="shared" si="2"/>
        <v>0</v>
      </c>
      <c r="BP17" s="367">
        <f t="shared" si="3"/>
        <v>0</v>
      </c>
      <c r="BQ17" s="359">
        <v>0</v>
      </c>
      <c r="BR17" s="359">
        <v>0</v>
      </c>
      <c r="BS17" s="359">
        <v>3</v>
      </c>
      <c r="BT17" s="366">
        <f t="shared" si="4"/>
        <v>3</v>
      </c>
      <c r="BU17" s="367">
        <f t="shared" si="5"/>
        <v>0.2</v>
      </c>
      <c r="BV17" s="359">
        <v>5</v>
      </c>
      <c r="BW17" s="359">
        <v>3</v>
      </c>
      <c r="BX17" s="359">
        <v>4</v>
      </c>
      <c r="BY17" s="366">
        <f t="shared" si="6"/>
        <v>12</v>
      </c>
      <c r="BZ17" s="367">
        <f t="shared" si="7"/>
        <v>0.8</v>
      </c>
      <c r="CA17" s="359">
        <v>0</v>
      </c>
      <c r="CB17" s="359">
        <v>0</v>
      </c>
      <c r="CC17" s="359">
        <v>0</v>
      </c>
      <c r="CD17" s="366">
        <f t="shared" si="8"/>
        <v>0</v>
      </c>
      <c r="CE17" s="367">
        <f t="shared" si="9"/>
        <v>0</v>
      </c>
      <c r="CF17" s="368">
        <f t="shared" si="10"/>
        <v>15</v>
      </c>
      <c r="CG17" s="359">
        <f t="shared" si="11"/>
        <v>1</v>
      </c>
      <c r="CH17" s="369"/>
      <c r="CI17" s="369"/>
      <c r="CJ17" s="370">
        <v>0</v>
      </c>
      <c r="CK17" s="370">
        <v>0</v>
      </c>
      <c r="CL17" s="370">
        <v>0</v>
      </c>
      <c r="CM17" s="394">
        <v>7055360</v>
      </c>
      <c r="CN17" s="374">
        <f t="shared" si="12"/>
        <v>0</v>
      </c>
      <c r="CO17" s="370">
        <f t="shared" si="13"/>
        <v>0</v>
      </c>
      <c r="CP17" s="370">
        <v>0</v>
      </c>
      <c r="CQ17" s="372">
        <v>0</v>
      </c>
      <c r="CR17" s="372">
        <v>0</v>
      </c>
      <c r="CS17" s="374">
        <v>0</v>
      </c>
      <c r="CT17" s="375">
        <f t="shared" si="14"/>
        <v>0</v>
      </c>
      <c r="CU17" s="370">
        <f t="shared" si="15"/>
        <v>0</v>
      </c>
      <c r="CV17" s="372">
        <v>1411072</v>
      </c>
      <c r="CW17" s="370">
        <v>2351786.6666666665</v>
      </c>
      <c r="CX17" s="372">
        <v>1411072</v>
      </c>
      <c r="CY17" s="374">
        <v>0</v>
      </c>
      <c r="CZ17" s="375">
        <f t="shared" si="16"/>
        <v>5173930.666666666</v>
      </c>
      <c r="DA17" s="370">
        <f t="shared" si="17"/>
        <v>0.73333333333333328</v>
      </c>
      <c r="DB17" s="370">
        <v>1881429.3333333333</v>
      </c>
      <c r="DC17" s="370">
        <v>0</v>
      </c>
      <c r="DD17" s="372">
        <v>0</v>
      </c>
      <c r="DE17" s="374">
        <v>0</v>
      </c>
      <c r="DF17" s="375">
        <f t="shared" si="19"/>
        <v>1881429.3333333333</v>
      </c>
      <c r="DG17" s="370">
        <f t="shared" si="20"/>
        <v>0.26666666666666666</v>
      </c>
      <c r="DH17" s="376">
        <f t="shared" si="21"/>
        <v>7055360</v>
      </c>
      <c r="DI17" s="376">
        <f t="shared" si="22"/>
        <v>7055359.9999999991</v>
      </c>
      <c r="DJ17" s="370">
        <f t="shared" si="23"/>
        <v>1</v>
      </c>
      <c r="DK17" s="370"/>
      <c r="DL17" s="377">
        <f t="shared" si="24"/>
        <v>7055360</v>
      </c>
      <c r="DM17" s="370">
        <f t="shared" si="25"/>
        <v>7055360</v>
      </c>
      <c r="DN17" s="370">
        <f t="shared" si="26"/>
        <v>0</v>
      </c>
      <c r="DO17" s="370">
        <f t="shared" si="27"/>
        <v>0</v>
      </c>
      <c r="DP17" s="370">
        <f t="shared" si="28"/>
        <v>0</v>
      </c>
      <c r="DQ17" s="378">
        <f t="shared" si="29"/>
        <v>7055359.9999999991</v>
      </c>
      <c r="DR17" s="370">
        <f t="shared" si="30"/>
        <v>0</v>
      </c>
      <c r="DS17" s="370">
        <f t="shared" si="31"/>
        <v>0</v>
      </c>
      <c r="DT17" s="370">
        <f t="shared" si="32"/>
        <v>5173930.666666666</v>
      </c>
      <c r="DU17" s="370">
        <f t="shared" si="33"/>
        <v>1881429.3333333333</v>
      </c>
      <c r="DV17" s="408"/>
      <c r="DW17" s="370">
        <v>2351786.6666666665</v>
      </c>
      <c r="DX17" s="372">
        <v>1411072</v>
      </c>
      <c r="DY17" s="300">
        <v>0</v>
      </c>
      <c r="DZ17" s="381">
        <f t="shared" si="34"/>
        <v>634982.40000000002</v>
      </c>
      <c r="EA17" s="382">
        <f t="shared" si="35"/>
        <v>7690342.4000000004</v>
      </c>
      <c r="EB17" s="608"/>
    </row>
    <row r="18" spans="1:132" ht="117.75" hidden="1" customHeight="1">
      <c r="A18" s="80">
        <v>1</v>
      </c>
      <c r="B18" s="346" t="s">
        <v>6</v>
      </c>
      <c r="C18" s="82" t="s">
        <v>304</v>
      </c>
      <c r="D18" s="82" t="s">
        <v>305</v>
      </c>
      <c r="E18" s="346" t="s">
        <v>114</v>
      </c>
      <c r="F18" s="40" t="s">
        <v>306</v>
      </c>
      <c r="G18" s="346" t="s">
        <v>364</v>
      </c>
      <c r="H18" s="32" t="s">
        <v>368</v>
      </c>
      <c r="I18" s="32" t="s">
        <v>767</v>
      </c>
      <c r="J18" s="32">
        <v>32</v>
      </c>
      <c r="K18" s="348" t="s">
        <v>370</v>
      </c>
      <c r="L18" s="40" t="s">
        <v>371</v>
      </c>
      <c r="M18" s="40" t="s">
        <v>768</v>
      </c>
      <c r="N18" s="349" t="s">
        <v>11</v>
      </c>
      <c r="O18" s="350">
        <v>19</v>
      </c>
      <c r="P18" s="39" t="s">
        <v>19</v>
      </c>
      <c r="Q18" s="32">
        <v>1905</v>
      </c>
      <c r="R18" s="351">
        <v>1905031</v>
      </c>
      <c r="S18" s="39" t="s">
        <v>33</v>
      </c>
      <c r="T18" s="39" t="s">
        <v>372</v>
      </c>
      <c r="U18" s="351">
        <v>190503100</v>
      </c>
      <c r="V18" s="40" t="s">
        <v>34</v>
      </c>
      <c r="W18" s="355" t="s">
        <v>316</v>
      </c>
      <c r="X18" s="388">
        <f t="shared" si="38"/>
        <v>16536000</v>
      </c>
      <c r="Y18" s="355"/>
      <c r="Z18" s="355"/>
      <c r="AA18" s="355"/>
      <c r="AB18" s="355"/>
      <c r="AC18" s="355"/>
      <c r="AD18" s="355"/>
      <c r="AE18" s="355"/>
      <c r="AF18" s="355"/>
      <c r="AG18" s="355"/>
      <c r="AH18" s="670"/>
      <c r="AI18" s="357" t="s">
        <v>169</v>
      </c>
      <c r="AJ18" s="80">
        <v>1</v>
      </c>
      <c r="AK18" s="80">
        <v>1</v>
      </c>
      <c r="AL18" s="80">
        <v>1</v>
      </c>
      <c r="AM18" s="80">
        <v>1</v>
      </c>
      <c r="AN18" s="80">
        <v>1</v>
      </c>
      <c r="AO18" s="358">
        <v>1</v>
      </c>
      <c r="AP18" s="33">
        <f t="shared" si="1"/>
        <v>1300</v>
      </c>
      <c r="AQ18" s="359" t="s">
        <v>316</v>
      </c>
      <c r="AR18" s="25">
        <v>0</v>
      </c>
      <c r="AS18" s="25">
        <v>450</v>
      </c>
      <c r="AT18" s="25">
        <v>600</v>
      </c>
      <c r="AU18" s="25">
        <v>250</v>
      </c>
      <c r="AV18" s="392" t="s">
        <v>776</v>
      </c>
      <c r="AW18" s="392" t="s">
        <v>769</v>
      </c>
      <c r="AX18" s="39" t="s">
        <v>770</v>
      </c>
      <c r="AY18" s="25">
        <v>395</v>
      </c>
      <c r="AZ18" s="39" t="s">
        <v>729</v>
      </c>
      <c r="BA18" s="40" t="s">
        <v>33</v>
      </c>
      <c r="BB18" s="360" t="s">
        <v>730</v>
      </c>
      <c r="BC18" s="361" t="s">
        <v>683</v>
      </c>
      <c r="BD18" s="40" t="s">
        <v>731</v>
      </c>
      <c r="BE18" s="391">
        <v>16536000</v>
      </c>
      <c r="BF18" s="363" t="s">
        <v>771</v>
      </c>
      <c r="BG18" s="364" t="s">
        <v>772</v>
      </c>
      <c r="BH18" s="365" t="s">
        <v>773</v>
      </c>
      <c r="BI18" s="365"/>
      <c r="BJ18" s="26" t="s">
        <v>774</v>
      </c>
      <c r="BK18" s="26" t="s">
        <v>775</v>
      </c>
      <c r="BL18" s="359">
        <v>0</v>
      </c>
      <c r="BM18" s="359">
        <v>0</v>
      </c>
      <c r="BN18" s="359">
        <v>0</v>
      </c>
      <c r="BO18" s="366">
        <f t="shared" si="2"/>
        <v>0</v>
      </c>
      <c r="BP18" s="367">
        <f t="shared" si="3"/>
        <v>0</v>
      </c>
      <c r="BQ18" s="359">
        <v>0</v>
      </c>
      <c r="BR18" s="359">
        <v>304</v>
      </c>
      <c r="BS18" s="359">
        <v>350</v>
      </c>
      <c r="BT18" s="366">
        <f t="shared" si="4"/>
        <v>654</v>
      </c>
      <c r="BU18" s="367">
        <f t="shared" si="5"/>
        <v>0.50307692307692309</v>
      </c>
      <c r="BV18" s="359">
        <v>360</v>
      </c>
      <c r="BW18" s="359">
        <v>286</v>
      </c>
      <c r="BX18" s="359">
        <v>0</v>
      </c>
      <c r="BY18" s="366">
        <f t="shared" si="6"/>
        <v>646</v>
      </c>
      <c r="BZ18" s="367">
        <f t="shared" si="7"/>
        <v>0.49692307692307691</v>
      </c>
      <c r="CA18" s="359">
        <v>0</v>
      </c>
      <c r="CB18" s="359">
        <v>0</v>
      </c>
      <c r="CC18" s="359">
        <v>0</v>
      </c>
      <c r="CD18" s="366">
        <f t="shared" si="8"/>
        <v>0</v>
      </c>
      <c r="CE18" s="367">
        <f t="shared" si="9"/>
        <v>0</v>
      </c>
      <c r="CF18" s="368">
        <f t="shared" si="10"/>
        <v>1300</v>
      </c>
      <c r="CG18" s="359">
        <f t="shared" si="11"/>
        <v>1</v>
      </c>
      <c r="CH18" s="369"/>
      <c r="CI18" s="369"/>
      <c r="CJ18" s="370">
        <v>0</v>
      </c>
      <c r="CK18" s="370">
        <v>0</v>
      </c>
      <c r="CL18" s="370">
        <v>0</v>
      </c>
      <c r="CM18" s="394">
        <v>16536000</v>
      </c>
      <c r="CN18" s="374">
        <f t="shared" si="12"/>
        <v>0</v>
      </c>
      <c r="CO18" s="370">
        <f t="shared" si="13"/>
        <v>0</v>
      </c>
      <c r="CP18" s="370">
        <v>0</v>
      </c>
      <c r="CQ18" s="370">
        <v>0</v>
      </c>
      <c r="CR18" s="372">
        <v>3866880</v>
      </c>
      <c r="CS18" s="374">
        <v>0</v>
      </c>
      <c r="CT18" s="375">
        <f t="shared" si="14"/>
        <v>3866880</v>
      </c>
      <c r="CU18" s="370">
        <f t="shared" si="15"/>
        <v>0.23384615384615384</v>
      </c>
      <c r="CV18" s="372">
        <v>4452000</v>
      </c>
      <c r="CW18" s="370">
        <v>4579200</v>
      </c>
      <c r="CX18" s="372">
        <v>3637920</v>
      </c>
      <c r="CY18" s="374">
        <v>0</v>
      </c>
      <c r="CZ18" s="375">
        <f t="shared" si="16"/>
        <v>12669120</v>
      </c>
      <c r="DA18" s="370">
        <f t="shared" si="17"/>
        <v>0.76615384615384619</v>
      </c>
      <c r="DB18" s="370">
        <v>0</v>
      </c>
      <c r="DC18" s="370">
        <v>0</v>
      </c>
      <c r="DD18" s="372">
        <v>0</v>
      </c>
      <c r="DE18" s="374">
        <v>0</v>
      </c>
      <c r="DF18" s="375">
        <f t="shared" si="19"/>
        <v>0</v>
      </c>
      <c r="DG18" s="370">
        <f t="shared" si="20"/>
        <v>0</v>
      </c>
      <c r="DH18" s="376">
        <f t="shared" si="21"/>
        <v>16536000</v>
      </c>
      <c r="DI18" s="376">
        <f t="shared" si="22"/>
        <v>16536000</v>
      </c>
      <c r="DJ18" s="370">
        <f t="shared" si="23"/>
        <v>1</v>
      </c>
      <c r="DK18" s="370"/>
      <c r="DL18" s="377">
        <f t="shared" si="24"/>
        <v>16536000</v>
      </c>
      <c r="DM18" s="370">
        <f t="shared" si="25"/>
        <v>16536000</v>
      </c>
      <c r="DN18" s="370">
        <f t="shared" si="26"/>
        <v>0</v>
      </c>
      <c r="DO18" s="370">
        <f t="shared" si="27"/>
        <v>0</v>
      </c>
      <c r="DP18" s="370">
        <f t="shared" si="28"/>
        <v>0</v>
      </c>
      <c r="DQ18" s="378">
        <f t="shared" si="29"/>
        <v>16536000</v>
      </c>
      <c r="DR18" s="370">
        <f t="shared" si="30"/>
        <v>0</v>
      </c>
      <c r="DS18" s="370">
        <f t="shared" si="31"/>
        <v>3866880</v>
      </c>
      <c r="DT18" s="370">
        <f t="shared" si="32"/>
        <v>12669120</v>
      </c>
      <c r="DU18" s="370">
        <f t="shared" si="33"/>
        <v>0</v>
      </c>
      <c r="DW18" s="370">
        <v>4579200</v>
      </c>
      <c r="DX18" s="372">
        <v>3637920</v>
      </c>
      <c r="DY18" s="300">
        <v>0</v>
      </c>
      <c r="DZ18" s="381">
        <f t="shared" si="34"/>
        <v>1488240</v>
      </c>
      <c r="EA18" s="382">
        <f t="shared" si="35"/>
        <v>18024240</v>
      </c>
      <c r="EB18" s="608"/>
    </row>
    <row r="19" spans="1:132" ht="121.5" hidden="1" customHeight="1">
      <c r="A19" s="126">
        <v>1</v>
      </c>
      <c r="B19" s="409" t="s">
        <v>6</v>
      </c>
      <c r="C19" s="128" t="s">
        <v>304</v>
      </c>
      <c r="D19" s="128" t="s">
        <v>305</v>
      </c>
      <c r="E19" s="409" t="s">
        <v>114</v>
      </c>
      <c r="F19" s="410" t="s">
        <v>306</v>
      </c>
      <c r="G19" s="409" t="s">
        <v>364</v>
      </c>
      <c r="H19" s="32" t="s">
        <v>376</v>
      </c>
      <c r="I19" s="32" t="s">
        <v>777</v>
      </c>
      <c r="J19" s="32">
        <v>33</v>
      </c>
      <c r="K19" s="348" t="s">
        <v>378</v>
      </c>
      <c r="L19" s="40" t="s">
        <v>778</v>
      </c>
      <c r="M19" s="40" t="s">
        <v>768</v>
      </c>
      <c r="N19" s="349" t="s">
        <v>11</v>
      </c>
      <c r="O19" s="350">
        <v>19</v>
      </c>
      <c r="P19" s="39" t="s">
        <v>19</v>
      </c>
      <c r="Q19" s="32">
        <v>1905</v>
      </c>
      <c r="R19" s="351">
        <v>1905031</v>
      </c>
      <c r="S19" s="39" t="s">
        <v>33</v>
      </c>
      <c r="T19" s="39" t="s">
        <v>372</v>
      </c>
      <c r="U19" s="351">
        <v>190503100</v>
      </c>
      <c r="V19" s="40" t="s">
        <v>34</v>
      </c>
      <c r="W19" s="355" t="s">
        <v>316</v>
      </c>
      <c r="X19" s="384">
        <f t="shared" si="38"/>
        <v>25300080</v>
      </c>
      <c r="Y19" s="355"/>
      <c r="Z19" s="355"/>
      <c r="AA19" s="355"/>
      <c r="AB19" s="355"/>
      <c r="AC19" s="355"/>
      <c r="AD19" s="355"/>
      <c r="AE19" s="355"/>
      <c r="AF19" s="355"/>
      <c r="AG19" s="355"/>
      <c r="AH19" s="668">
        <f t="shared" si="0"/>
        <v>25300080</v>
      </c>
      <c r="AI19" s="357" t="s">
        <v>170</v>
      </c>
      <c r="AJ19" s="80">
        <v>1</v>
      </c>
      <c r="AK19" s="80">
        <v>1</v>
      </c>
      <c r="AL19" s="80">
        <v>1</v>
      </c>
      <c r="AM19" s="80">
        <v>1</v>
      </c>
      <c r="AN19" s="80">
        <v>1</v>
      </c>
      <c r="AO19" s="358">
        <v>1</v>
      </c>
      <c r="AP19" s="33">
        <v>12</v>
      </c>
      <c r="AQ19" s="359" t="s">
        <v>316</v>
      </c>
      <c r="AR19" s="25">
        <v>0</v>
      </c>
      <c r="AS19" s="25">
        <v>2</v>
      </c>
      <c r="AT19" s="25">
        <v>6</v>
      </c>
      <c r="AU19" s="25">
        <v>4</v>
      </c>
      <c r="AV19" s="392" t="s">
        <v>779</v>
      </c>
      <c r="AW19" s="392" t="s">
        <v>769</v>
      </c>
      <c r="AX19" s="39" t="s">
        <v>780</v>
      </c>
      <c r="AY19" s="25">
        <v>396</v>
      </c>
      <c r="AZ19" s="39" t="s">
        <v>729</v>
      </c>
      <c r="BA19" s="40" t="s">
        <v>33</v>
      </c>
      <c r="BB19" s="360" t="s">
        <v>730</v>
      </c>
      <c r="BC19" s="361" t="s">
        <v>683</v>
      </c>
      <c r="BD19" s="40" t="s">
        <v>731</v>
      </c>
      <c r="BE19" s="391">
        <v>25300080</v>
      </c>
      <c r="BF19" s="363" t="s">
        <v>771</v>
      </c>
      <c r="BG19" s="364" t="s">
        <v>781</v>
      </c>
      <c r="BH19" s="365" t="s">
        <v>782</v>
      </c>
      <c r="BI19" s="365"/>
      <c r="BJ19" s="26" t="s">
        <v>783</v>
      </c>
      <c r="BK19" s="26" t="s">
        <v>784</v>
      </c>
      <c r="BL19" s="359">
        <v>0</v>
      </c>
      <c r="BM19" s="359">
        <v>0</v>
      </c>
      <c r="BN19" s="359">
        <v>0</v>
      </c>
      <c r="BO19" s="366">
        <f t="shared" si="2"/>
        <v>0</v>
      </c>
      <c r="BP19" s="367">
        <f t="shared" si="3"/>
        <v>0</v>
      </c>
      <c r="BQ19" s="359">
        <v>0</v>
      </c>
      <c r="BR19" s="359">
        <v>4</v>
      </c>
      <c r="BS19" s="359">
        <v>3</v>
      </c>
      <c r="BT19" s="366">
        <f t="shared" si="4"/>
        <v>7</v>
      </c>
      <c r="BU19" s="367">
        <f t="shared" si="5"/>
        <v>0.58333333333333337</v>
      </c>
      <c r="BV19" s="359">
        <v>2</v>
      </c>
      <c r="BW19" s="359">
        <v>3</v>
      </c>
      <c r="BX19" s="359">
        <v>0</v>
      </c>
      <c r="BY19" s="366">
        <f t="shared" si="6"/>
        <v>5</v>
      </c>
      <c r="BZ19" s="367">
        <f t="shared" si="7"/>
        <v>0.41666666666666669</v>
      </c>
      <c r="CA19" s="359">
        <v>0</v>
      </c>
      <c r="CB19" s="359">
        <v>0</v>
      </c>
      <c r="CC19" s="359">
        <v>0</v>
      </c>
      <c r="CD19" s="366">
        <f t="shared" si="8"/>
        <v>0</v>
      </c>
      <c r="CE19" s="367">
        <f t="shared" si="9"/>
        <v>0</v>
      </c>
      <c r="CF19" s="368">
        <f t="shared" si="10"/>
        <v>12</v>
      </c>
      <c r="CG19" s="359">
        <f t="shared" si="11"/>
        <v>1</v>
      </c>
      <c r="CH19" s="369"/>
      <c r="CI19" s="369"/>
      <c r="CJ19" s="370">
        <v>0</v>
      </c>
      <c r="CK19" s="370">
        <v>0</v>
      </c>
      <c r="CL19" s="370">
        <v>0</v>
      </c>
      <c r="CM19" s="394">
        <v>25300080</v>
      </c>
      <c r="CN19" s="374">
        <f t="shared" si="12"/>
        <v>0</v>
      </c>
      <c r="CO19" s="370">
        <f t="shared" si="13"/>
        <v>0</v>
      </c>
      <c r="CP19" s="370">
        <v>0</v>
      </c>
      <c r="CQ19" s="370">
        <v>0</v>
      </c>
      <c r="CR19" s="372">
        <v>8433360</v>
      </c>
      <c r="CS19" s="374">
        <v>0</v>
      </c>
      <c r="CT19" s="375">
        <f t="shared" si="14"/>
        <v>8433360</v>
      </c>
      <c r="CU19" s="370">
        <f t="shared" si="15"/>
        <v>0.33333333333333331</v>
      </c>
      <c r="CV19" s="370">
        <v>6325020</v>
      </c>
      <c r="CW19" s="370">
        <v>4216680</v>
      </c>
      <c r="CX19" s="372">
        <v>6325020</v>
      </c>
      <c r="CY19" s="374">
        <v>0</v>
      </c>
      <c r="CZ19" s="375">
        <f t="shared" si="16"/>
        <v>16866720</v>
      </c>
      <c r="DA19" s="370">
        <f t="shared" si="17"/>
        <v>0.66666666666666663</v>
      </c>
      <c r="DB19" s="370">
        <v>0</v>
      </c>
      <c r="DC19" s="370">
        <v>0</v>
      </c>
      <c r="DD19" s="372">
        <v>0</v>
      </c>
      <c r="DE19" s="374">
        <v>0</v>
      </c>
      <c r="DF19" s="375">
        <f t="shared" si="19"/>
        <v>0</v>
      </c>
      <c r="DG19" s="370">
        <f t="shared" si="20"/>
        <v>0</v>
      </c>
      <c r="DH19" s="376">
        <f t="shared" si="21"/>
        <v>25300080</v>
      </c>
      <c r="DI19" s="376">
        <f t="shared" si="22"/>
        <v>25300080</v>
      </c>
      <c r="DJ19" s="370">
        <f t="shared" si="23"/>
        <v>1</v>
      </c>
      <c r="DK19" s="370"/>
      <c r="DL19" s="377">
        <f t="shared" si="24"/>
        <v>25300080</v>
      </c>
      <c r="DM19" s="370">
        <f t="shared" si="25"/>
        <v>25300080</v>
      </c>
      <c r="DN19" s="370">
        <f t="shared" si="26"/>
        <v>0</v>
      </c>
      <c r="DO19" s="370">
        <f t="shared" si="27"/>
        <v>0</v>
      </c>
      <c r="DP19" s="370">
        <f t="shared" si="28"/>
        <v>0</v>
      </c>
      <c r="DQ19" s="378">
        <f t="shared" si="29"/>
        <v>25300080</v>
      </c>
      <c r="DR19" s="370">
        <f t="shared" si="30"/>
        <v>0</v>
      </c>
      <c r="DS19" s="370">
        <f t="shared" si="31"/>
        <v>8433360</v>
      </c>
      <c r="DT19" s="370">
        <f t="shared" si="32"/>
        <v>16866720</v>
      </c>
      <c r="DU19" s="370">
        <f t="shared" si="33"/>
        <v>0</v>
      </c>
      <c r="DW19" s="370">
        <v>4216680</v>
      </c>
      <c r="DX19" s="372">
        <v>6325020</v>
      </c>
      <c r="DY19" s="300">
        <v>0</v>
      </c>
      <c r="DZ19" s="381">
        <f t="shared" si="34"/>
        <v>2277007.1999999997</v>
      </c>
      <c r="EA19" s="382">
        <f t="shared" si="35"/>
        <v>27577087.199999999</v>
      </c>
      <c r="EB19" s="608"/>
    </row>
    <row r="20" spans="1:132" ht="107.25" hidden="1" customHeight="1" thickBot="1">
      <c r="A20" s="126">
        <v>1</v>
      </c>
      <c r="B20" s="409" t="s">
        <v>6</v>
      </c>
      <c r="C20" s="128" t="s">
        <v>304</v>
      </c>
      <c r="D20" s="128" t="s">
        <v>305</v>
      </c>
      <c r="E20" s="409" t="s">
        <v>114</v>
      </c>
      <c r="F20" s="410" t="s">
        <v>306</v>
      </c>
      <c r="G20" s="409" t="s">
        <v>364</v>
      </c>
      <c r="H20" s="32" t="s">
        <v>376</v>
      </c>
      <c r="I20" s="32" t="s">
        <v>777</v>
      </c>
      <c r="J20" s="32">
        <v>33</v>
      </c>
      <c r="K20" s="348" t="s">
        <v>378</v>
      </c>
      <c r="L20" s="40" t="s">
        <v>778</v>
      </c>
      <c r="M20" s="40" t="s">
        <v>768</v>
      </c>
      <c r="N20" s="349" t="s">
        <v>11</v>
      </c>
      <c r="O20" s="350">
        <v>19</v>
      </c>
      <c r="P20" s="39" t="s">
        <v>19</v>
      </c>
      <c r="Q20" s="32">
        <v>1905</v>
      </c>
      <c r="R20" s="351">
        <v>1905031</v>
      </c>
      <c r="S20" s="39" t="s">
        <v>33</v>
      </c>
      <c r="T20" s="39" t="s">
        <v>372</v>
      </c>
      <c r="U20" s="351">
        <v>190503100</v>
      </c>
      <c r="V20" s="40" t="s">
        <v>34</v>
      </c>
      <c r="W20" s="355" t="s">
        <v>316</v>
      </c>
      <c r="X20" s="388"/>
      <c r="Y20" s="355"/>
      <c r="Z20" s="355"/>
      <c r="AA20" s="355"/>
      <c r="AB20" s="355"/>
      <c r="AC20" s="355"/>
      <c r="AD20" s="355"/>
      <c r="AE20" s="355"/>
      <c r="AF20" s="355"/>
      <c r="AG20" s="355"/>
      <c r="AH20" s="670"/>
      <c r="AI20" s="357" t="s">
        <v>171</v>
      </c>
      <c r="AJ20" s="80">
        <v>1</v>
      </c>
      <c r="AK20" s="80">
        <v>1</v>
      </c>
      <c r="AL20" s="80">
        <v>1</v>
      </c>
      <c r="AM20" s="80">
        <v>1</v>
      </c>
      <c r="AN20" s="80">
        <v>1</v>
      </c>
      <c r="AO20" s="358">
        <v>1</v>
      </c>
      <c r="AP20" s="33">
        <f t="shared" si="1"/>
        <v>20</v>
      </c>
      <c r="AQ20" s="359" t="s">
        <v>316</v>
      </c>
      <c r="AR20" s="25">
        <v>0</v>
      </c>
      <c r="AS20" s="25">
        <v>5</v>
      </c>
      <c r="AT20" s="25">
        <v>10</v>
      </c>
      <c r="AU20" s="25">
        <v>5</v>
      </c>
      <c r="AV20" s="392" t="s">
        <v>779</v>
      </c>
      <c r="AW20" s="392" t="s">
        <v>769</v>
      </c>
      <c r="AX20" s="39" t="s">
        <v>780</v>
      </c>
      <c r="AY20" s="25">
        <v>396</v>
      </c>
      <c r="AZ20" s="39" t="s">
        <v>729</v>
      </c>
      <c r="BA20" s="40" t="s">
        <v>33</v>
      </c>
      <c r="BB20" s="360" t="s">
        <v>730</v>
      </c>
      <c r="BC20" s="361" t="s">
        <v>683</v>
      </c>
      <c r="BD20" s="40" t="s">
        <v>731</v>
      </c>
      <c r="BE20" s="391">
        <v>6951734.4000000004</v>
      </c>
      <c r="BF20" s="363" t="s">
        <v>771</v>
      </c>
      <c r="BG20" s="364" t="s">
        <v>781</v>
      </c>
      <c r="BH20" s="365" t="s">
        <v>782</v>
      </c>
      <c r="BI20" s="365"/>
      <c r="BJ20" s="26" t="s">
        <v>783</v>
      </c>
      <c r="BK20" s="26" t="s">
        <v>784</v>
      </c>
      <c r="BL20" s="359">
        <v>0</v>
      </c>
      <c r="BM20" s="359">
        <v>0</v>
      </c>
      <c r="BN20" s="359">
        <v>0</v>
      </c>
      <c r="BO20" s="366">
        <f t="shared" si="2"/>
        <v>0</v>
      </c>
      <c r="BP20" s="367">
        <f t="shared" si="3"/>
        <v>0</v>
      </c>
      <c r="BQ20" s="359">
        <v>0</v>
      </c>
      <c r="BR20" s="359">
        <v>0</v>
      </c>
      <c r="BS20" s="359">
        <v>0</v>
      </c>
      <c r="BT20" s="366">
        <f t="shared" si="4"/>
        <v>0</v>
      </c>
      <c r="BU20" s="367">
        <f t="shared" si="5"/>
        <v>0</v>
      </c>
      <c r="BV20" s="359">
        <v>0</v>
      </c>
      <c r="BW20" s="359">
        <v>0</v>
      </c>
      <c r="BX20" s="359">
        <v>10</v>
      </c>
      <c r="BY20" s="366">
        <f t="shared" si="6"/>
        <v>10</v>
      </c>
      <c r="BZ20" s="367">
        <f t="shared" si="7"/>
        <v>0.5</v>
      </c>
      <c r="CA20" s="359">
        <v>0</v>
      </c>
      <c r="CB20" s="359">
        <v>0</v>
      </c>
      <c r="CC20" s="359">
        <v>0</v>
      </c>
      <c r="CD20" s="366">
        <f t="shared" si="8"/>
        <v>0</v>
      </c>
      <c r="CE20" s="367">
        <f t="shared" si="9"/>
        <v>0</v>
      </c>
      <c r="CF20" s="368">
        <f t="shared" si="10"/>
        <v>10</v>
      </c>
      <c r="CG20" s="359">
        <f t="shared" si="11"/>
        <v>0.5</v>
      </c>
      <c r="CH20" s="369"/>
      <c r="CI20" s="369"/>
      <c r="CJ20" s="370">
        <v>0</v>
      </c>
      <c r="CK20" s="370">
        <v>0</v>
      </c>
      <c r="CL20" s="370">
        <v>0</v>
      </c>
      <c r="CM20" s="394">
        <v>6951734.4000000004</v>
      </c>
      <c r="CN20" s="374">
        <f t="shared" si="12"/>
        <v>0</v>
      </c>
      <c r="CO20" s="370">
        <f t="shared" si="13"/>
        <v>0</v>
      </c>
      <c r="CP20" s="370">
        <v>0</v>
      </c>
      <c r="CQ20" s="370">
        <v>0</v>
      </c>
      <c r="CR20" s="372">
        <v>0</v>
      </c>
      <c r="CS20" s="374">
        <v>0</v>
      </c>
      <c r="CT20" s="375">
        <f t="shared" si="14"/>
        <v>0</v>
      </c>
      <c r="CU20" s="370">
        <f t="shared" si="15"/>
        <v>0</v>
      </c>
      <c r="CV20" s="370">
        <v>0</v>
      </c>
      <c r="CW20" s="370">
        <v>0</v>
      </c>
      <c r="CX20" s="372">
        <v>0</v>
      </c>
      <c r="CY20" s="374">
        <v>0</v>
      </c>
      <c r="CZ20" s="375">
        <f t="shared" si="16"/>
        <v>0</v>
      </c>
      <c r="DA20" s="370">
        <f t="shared" si="17"/>
        <v>0</v>
      </c>
      <c r="DB20" s="370">
        <v>3475867.2</v>
      </c>
      <c r="DC20" s="370">
        <v>3475867.2</v>
      </c>
      <c r="DD20" s="372">
        <v>0</v>
      </c>
      <c r="DE20" s="374">
        <v>0</v>
      </c>
      <c r="DF20" s="375">
        <f t="shared" si="19"/>
        <v>6951734.4000000004</v>
      </c>
      <c r="DG20" s="370">
        <f t="shared" si="20"/>
        <v>1</v>
      </c>
      <c r="DH20" s="376">
        <f t="shared" si="21"/>
        <v>6951734.4000000004</v>
      </c>
      <c r="DI20" s="376">
        <f t="shared" si="22"/>
        <v>6951734.4000000004</v>
      </c>
      <c r="DJ20" s="370">
        <f t="shared" si="23"/>
        <v>1</v>
      </c>
      <c r="DK20" s="370"/>
      <c r="DL20" s="377">
        <f t="shared" si="24"/>
        <v>6951734.4000000004</v>
      </c>
      <c r="DM20" s="370">
        <f t="shared" si="25"/>
        <v>6951734.4000000004</v>
      </c>
      <c r="DN20" s="370">
        <f t="shared" si="26"/>
        <v>0</v>
      </c>
      <c r="DO20" s="370">
        <f t="shared" si="27"/>
        <v>0</v>
      </c>
      <c r="DP20" s="370">
        <f t="shared" si="28"/>
        <v>0</v>
      </c>
      <c r="DQ20" s="378">
        <f t="shared" si="29"/>
        <v>6951734.4000000004</v>
      </c>
      <c r="DR20" s="370">
        <f t="shared" si="30"/>
        <v>0</v>
      </c>
      <c r="DS20" s="370">
        <f t="shared" si="31"/>
        <v>0</v>
      </c>
      <c r="DT20" s="370">
        <f t="shared" si="32"/>
        <v>0</v>
      </c>
      <c r="DU20" s="370">
        <f t="shared" si="33"/>
        <v>6951734.4000000004</v>
      </c>
      <c r="DW20" s="370">
        <v>0</v>
      </c>
      <c r="DX20" s="372">
        <v>0</v>
      </c>
      <c r="DY20" s="300">
        <v>0</v>
      </c>
      <c r="DZ20" s="381">
        <f t="shared" si="34"/>
        <v>625656.09600000002</v>
      </c>
      <c r="EA20" s="382">
        <f t="shared" si="35"/>
        <v>7577390.4960000003</v>
      </c>
      <c r="EB20" s="608"/>
    </row>
    <row r="21" spans="1:132" ht="105.75" hidden="1" customHeight="1" thickTop="1" thickBot="1">
      <c r="A21" s="133">
        <v>1</v>
      </c>
      <c r="B21" s="411" t="s">
        <v>6</v>
      </c>
      <c r="C21" s="135" t="s">
        <v>304</v>
      </c>
      <c r="D21" s="135" t="s">
        <v>305</v>
      </c>
      <c r="E21" s="412" t="s">
        <v>114</v>
      </c>
      <c r="F21" s="347" t="s">
        <v>306</v>
      </c>
      <c r="G21" s="412" t="s">
        <v>381</v>
      </c>
      <c r="H21" s="32" t="s">
        <v>384</v>
      </c>
      <c r="I21" s="32" t="s">
        <v>785</v>
      </c>
      <c r="J21" s="32">
        <v>34</v>
      </c>
      <c r="K21" s="348" t="s">
        <v>786</v>
      </c>
      <c r="L21" s="40" t="s">
        <v>787</v>
      </c>
      <c r="M21" s="40" t="s">
        <v>788</v>
      </c>
      <c r="N21" s="349" t="s">
        <v>11</v>
      </c>
      <c r="O21" s="350">
        <v>19</v>
      </c>
      <c r="P21" s="39" t="s">
        <v>19</v>
      </c>
      <c r="Q21" s="32">
        <v>1905</v>
      </c>
      <c r="R21" s="351">
        <v>1905022</v>
      </c>
      <c r="S21" s="39" t="s">
        <v>36</v>
      </c>
      <c r="T21" s="39" t="s">
        <v>388</v>
      </c>
      <c r="U21" s="32">
        <v>190502200</v>
      </c>
      <c r="V21" s="40" t="s">
        <v>37</v>
      </c>
      <c r="W21" s="355" t="s">
        <v>316</v>
      </c>
      <c r="X21" s="665">
        <f>SUM(BE21:BE25)</f>
        <v>64952560</v>
      </c>
      <c r="Y21" s="355"/>
      <c r="Z21" s="355"/>
      <c r="AA21" s="355"/>
      <c r="AB21" s="355"/>
      <c r="AC21" s="355"/>
      <c r="AD21" s="355"/>
      <c r="AE21" s="355"/>
      <c r="AF21" s="355"/>
      <c r="AG21" s="355"/>
      <c r="AH21" s="668">
        <f t="shared" si="0"/>
        <v>64952560</v>
      </c>
      <c r="AI21" s="357" t="s">
        <v>183</v>
      </c>
      <c r="AJ21" s="80">
        <v>1</v>
      </c>
      <c r="AK21" s="80">
        <v>1</v>
      </c>
      <c r="AL21" s="80">
        <v>1</v>
      </c>
      <c r="AM21" s="80">
        <v>1</v>
      </c>
      <c r="AN21" s="80">
        <v>1</v>
      </c>
      <c r="AO21" s="358">
        <v>1</v>
      </c>
      <c r="AP21" s="33">
        <f t="shared" si="1"/>
        <v>12</v>
      </c>
      <c r="AQ21" s="359" t="s">
        <v>316</v>
      </c>
      <c r="AR21" s="25">
        <v>0</v>
      </c>
      <c r="AS21" s="25">
        <v>4</v>
      </c>
      <c r="AT21" s="25">
        <v>5</v>
      </c>
      <c r="AU21" s="25">
        <v>3</v>
      </c>
      <c r="AV21" s="392" t="s">
        <v>739</v>
      </c>
      <c r="AW21" s="392" t="s">
        <v>740</v>
      </c>
      <c r="AX21" s="39" t="s">
        <v>789</v>
      </c>
      <c r="AY21" s="25">
        <v>382</v>
      </c>
      <c r="AZ21" s="39" t="s">
        <v>729</v>
      </c>
      <c r="BA21" s="40" t="s">
        <v>36</v>
      </c>
      <c r="BB21" s="360" t="s">
        <v>730</v>
      </c>
      <c r="BC21" s="361" t="s">
        <v>683</v>
      </c>
      <c r="BD21" s="40" t="s">
        <v>731</v>
      </c>
      <c r="BE21" s="391">
        <v>5649800</v>
      </c>
      <c r="BF21" s="363" t="s">
        <v>771</v>
      </c>
      <c r="BG21" s="364" t="s">
        <v>790</v>
      </c>
      <c r="BH21" s="365" t="s">
        <v>791</v>
      </c>
      <c r="BI21" s="365"/>
      <c r="BJ21" s="26" t="s">
        <v>792</v>
      </c>
      <c r="BK21" s="26" t="s">
        <v>793</v>
      </c>
      <c r="BL21" s="359">
        <v>0</v>
      </c>
      <c r="BM21" s="359">
        <v>0</v>
      </c>
      <c r="BN21" s="359">
        <v>0</v>
      </c>
      <c r="BO21" s="366">
        <f t="shared" si="2"/>
        <v>0</v>
      </c>
      <c r="BP21" s="367">
        <f t="shared" si="3"/>
        <v>0</v>
      </c>
      <c r="BQ21" s="359">
        <v>0</v>
      </c>
      <c r="BR21" s="359">
        <v>0</v>
      </c>
      <c r="BS21" s="359">
        <v>0</v>
      </c>
      <c r="BT21" s="366">
        <f t="shared" si="4"/>
        <v>0</v>
      </c>
      <c r="BU21" s="367">
        <f t="shared" si="5"/>
        <v>0</v>
      </c>
      <c r="BV21" s="359">
        <v>0</v>
      </c>
      <c r="BW21" s="359">
        <v>4</v>
      </c>
      <c r="BX21" s="359">
        <v>2</v>
      </c>
      <c r="BY21" s="366">
        <f t="shared" si="6"/>
        <v>6</v>
      </c>
      <c r="BZ21" s="367">
        <f t="shared" si="7"/>
        <v>0.5</v>
      </c>
      <c r="CA21" s="359">
        <v>0</v>
      </c>
      <c r="CB21" s="359">
        <v>0</v>
      </c>
      <c r="CC21" s="359">
        <v>0</v>
      </c>
      <c r="CD21" s="366">
        <f t="shared" si="8"/>
        <v>0</v>
      </c>
      <c r="CE21" s="367">
        <f t="shared" si="9"/>
        <v>0</v>
      </c>
      <c r="CF21" s="368">
        <f t="shared" si="10"/>
        <v>6</v>
      </c>
      <c r="CG21" s="359">
        <f t="shared" si="11"/>
        <v>0.5</v>
      </c>
      <c r="CH21" s="369"/>
      <c r="CI21" s="369"/>
      <c r="CJ21" s="370">
        <v>0</v>
      </c>
      <c r="CK21" s="370">
        <v>0</v>
      </c>
      <c r="CL21" s="370">
        <v>0</v>
      </c>
      <c r="CM21" s="394">
        <v>5649800</v>
      </c>
      <c r="CN21" s="374">
        <f t="shared" si="12"/>
        <v>0</v>
      </c>
      <c r="CO21" s="370">
        <f t="shared" si="13"/>
        <v>0</v>
      </c>
      <c r="CP21" s="370">
        <v>0</v>
      </c>
      <c r="CQ21" s="370">
        <v>0</v>
      </c>
      <c r="CR21" s="372">
        <v>0</v>
      </c>
      <c r="CS21" s="374">
        <v>0</v>
      </c>
      <c r="CT21" s="375">
        <f t="shared" si="14"/>
        <v>0</v>
      </c>
      <c r="CU21" s="370">
        <f t="shared" si="15"/>
        <v>0</v>
      </c>
      <c r="CV21" s="370">
        <v>2824900</v>
      </c>
      <c r="CW21" s="370">
        <v>0</v>
      </c>
      <c r="CX21" s="372">
        <v>1883266.6666666667</v>
      </c>
      <c r="CY21" s="374">
        <v>0</v>
      </c>
      <c r="CZ21" s="375">
        <f t="shared" si="16"/>
        <v>4708166.666666667</v>
      </c>
      <c r="DA21" s="370">
        <f t="shared" si="17"/>
        <v>0.83333333333333337</v>
      </c>
      <c r="DB21" s="370">
        <v>941633.33333333337</v>
      </c>
      <c r="DC21" s="370">
        <v>0</v>
      </c>
      <c r="DD21" s="372">
        <v>0</v>
      </c>
      <c r="DE21" s="374">
        <v>0</v>
      </c>
      <c r="DF21" s="375">
        <f t="shared" si="19"/>
        <v>941633.33333333337</v>
      </c>
      <c r="DG21" s="370">
        <f t="shared" si="20"/>
        <v>0.16666666666666669</v>
      </c>
      <c r="DH21" s="376">
        <f t="shared" si="21"/>
        <v>5649800</v>
      </c>
      <c r="DI21" s="376">
        <f t="shared" si="22"/>
        <v>5649800</v>
      </c>
      <c r="DJ21" s="370">
        <f t="shared" si="23"/>
        <v>1</v>
      </c>
      <c r="DK21" s="370"/>
      <c r="DL21" s="377">
        <f t="shared" si="24"/>
        <v>5649800</v>
      </c>
      <c r="DM21" s="370">
        <f t="shared" si="25"/>
        <v>5649800</v>
      </c>
      <c r="DN21" s="370">
        <f t="shared" si="26"/>
        <v>0</v>
      </c>
      <c r="DO21" s="370">
        <f t="shared" si="27"/>
        <v>0</v>
      </c>
      <c r="DP21" s="370">
        <f t="shared" si="28"/>
        <v>0</v>
      </c>
      <c r="DQ21" s="378">
        <f t="shared" si="29"/>
        <v>5649800</v>
      </c>
      <c r="DR21" s="370">
        <f t="shared" si="30"/>
        <v>0</v>
      </c>
      <c r="DS21" s="370">
        <f t="shared" si="31"/>
        <v>0</v>
      </c>
      <c r="DT21" s="370">
        <f t="shared" si="32"/>
        <v>4708166.666666667</v>
      </c>
      <c r="DU21" s="370">
        <f t="shared" si="33"/>
        <v>941633.33333333337</v>
      </c>
      <c r="DW21" s="370">
        <v>0</v>
      </c>
      <c r="DX21" s="372">
        <v>1883266.6666666667</v>
      </c>
      <c r="DY21" s="300">
        <v>0</v>
      </c>
      <c r="DZ21" s="381">
        <f t="shared" si="34"/>
        <v>508482</v>
      </c>
      <c r="EA21" s="382">
        <f t="shared" si="35"/>
        <v>6158282</v>
      </c>
      <c r="EB21" s="608"/>
    </row>
    <row r="22" spans="1:132" ht="111.75" hidden="1" customHeight="1" thickTop="1" thickBot="1">
      <c r="A22" s="133">
        <v>1</v>
      </c>
      <c r="B22" s="411" t="s">
        <v>6</v>
      </c>
      <c r="C22" s="135" t="s">
        <v>304</v>
      </c>
      <c r="D22" s="135" t="s">
        <v>305</v>
      </c>
      <c r="E22" s="412" t="s">
        <v>114</v>
      </c>
      <c r="F22" s="347" t="s">
        <v>306</v>
      </c>
      <c r="G22" s="412" t="s">
        <v>381</v>
      </c>
      <c r="H22" s="32" t="s">
        <v>384</v>
      </c>
      <c r="I22" s="32" t="s">
        <v>785</v>
      </c>
      <c r="J22" s="32">
        <v>34</v>
      </c>
      <c r="K22" s="348" t="s">
        <v>786</v>
      </c>
      <c r="L22" s="40" t="s">
        <v>787</v>
      </c>
      <c r="M22" s="40" t="s">
        <v>788</v>
      </c>
      <c r="N22" s="349" t="s">
        <v>11</v>
      </c>
      <c r="O22" s="350">
        <v>19</v>
      </c>
      <c r="P22" s="39" t="s">
        <v>19</v>
      </c>
      <c r="Q22" s="32">
        <v>1905</v>
      </c>
      <c r="R22" s="351">
        <v>1905022</v>
      </c>
      <c r="S22" s="39" t="s">
        <v>36</v>
      </c>
      <c r="T22" s="39" t="s">
        <v>388</v>
      </c>
      <c r="U22" s="32">
        <v>190502200</v>
      </c>
      <c r="V22" s="40" t="s">
        <v>37</v>
      </c>
      <c r="W22" s="355" t="s">
        <v>316</v>
      </c>
      <c r="X22" s="666"/>
      <c r="Y22" s="355"/>
      <c r="Z22" s="355"/>
      <c r="AA22" s="355"/>
      <c r="AB22" s="355"/>
      <c r="AC22" s="355"/>
      <c r="AD22" s="355"/>
      <c r="AE22" s="355"/>
      <c r="AF22" s="355"/>
      <c r="AG22" s="355"/>
      <c r="AH22" s="669"/>
      <c r="AI22" s="357" t="s">
        <v>174</v>
      </c>
      <c r="AJ22" s="80">
        <v>1</v>
      </c>
      <c r="AK22" s="80">
        <v>1</v>
      </c>
      <c r="AL22" s="80">
        <v>1</v>
      </c>
      <c r="AM22" s="80">
        <v>1</v>
      </c>
      <c r="AN22" s="80">
        <v>1</v>
      </c>
      <c r="AO22" s="358">
        <v>1</v>
      </c>
      <c r="AP22" s="33">
        <f t="shared" si="1"/>
        <v>2</v>
      </c>
      <c r="AQ22" s="359" t="s">
        <v>316</v>
      </c>
      <c r="AR22" s="25">
        <v>0</v>
      </c>
      <c r="AS22" s="25">
        <v>0</v>
      </c>
      <c r="AT22" s="25">
        <v>1</v>
      </c>
      <c r="AU22" s="25">
        <v>1</v>
      </c>
      <c r="AV22" s="392" t="s">
        <v>739</v>
      </c>
      <c r="AW22" s="392" t="s">
        <v>740</v>
      </c>
      <c r="AX22" s="39" t="s">
        <v>794</v>
      </c>
      <c r="AY22" s="25">
        <v>382</v>
      </c>
      <c r="AZ22" s="39" t="s">
        <v>729</v>
      </c>
      <c r="BA22" s="40" t="s">
        <v>36</v>
      </c>
      <c r="BB22" s="360" t="s">
        <v>730</v>
      </c>
      <c r="BC22" s="361" t="s">
        <v>683</v>
      </c>
      <c r="BD22" s="40" t="s">
        <v>731</v>
      </c>
      <c r="BE22" s="391">
        <v>17638400</v>
      </c>
      <c r="BF22" s="363" t="s">
        <v>771</v>
      </c>
      <c r="BG22" s="364" t="s">
        <v>790</v>
      </c>
      <c r="BH22" s="365" t="s">
        <v>791</v>
      </c>
      <c r="BI22" s="365"/>
      <c r="BJ22" s="26" t="s">
        <v>792</v>
      </c>
      <c r="BK22" s="26" t="s">
        <v>793</v>
      </c>
      <c r="BL22" s="359">
        <v>0</v>
      </c>
      <c r="BM22" s="359">
        <v>0</v>
      </c>
      <c r="BN22" s="359">
        <v>0</v>
      </c>
      <c r="BO22" s="366">
        <f t="shared" si="2"/>
        <v>0</v>
      </c>
      <c r="BP22" s="367">
        <f t="shared" si="3"/>
        <v>0</v>
      </c>
      <c r="BQ22" s="359">
        <v>0</v>
      </c>
      <c r="BR22" s="359">
        <v>0</v>
      </c>
      <c r="BS22" s="359">
        <v>0</v>
      </c>
      <c r="BT22" s="366">
        <f t="shared" si="4"/>
        <v>0</v>
      </c>
      <c r="BU22" s="367">
        <f t="shared" si="5"/>
        <v>0</v>
      </c>
      <c r="BV22" s="359">
        <v>0</v>
      </c>
      <c r="BW22" s="359">
        <v>1</v>
      </c>
      <c r="BX22" s="359">
        <v>0</v>
      </c>
      <c r="BY22" s="366">
        <f t="shared" si="6"/>
        <v>1</v>
      </c>
      <c r="BZ22" s="367">
        <f t="shared" si="7"/>
        <v>0.5</v>
      </c>
      <c r="CA22" s="359">
        <v>0</v>
      </c>
      <c r="CB22" s="359">
        <v>0</v>
      </c>
      <c r="CC22" s="359">
        <v>0</v>
      </c>
      <c r="CD22" s="366">
        <f t="shared" si="8"/>
        <v>0</v>
      </c>
      <c r="CE22" s="367">
        <f t="shared" si="9"/>
        <v>0</v>
      </c>
      <c r="CF22" s="368">
        <f t="shared" si="10"/>
        <v>1</v>
      </c>
      <c r="CG22" s="359">
        <f t="shared" si="11"/>
        <v>0.5</v>
      </c>
      <c r="CH22" s="369"/>
      <c r="CI22" s="369"/>
      <c r="CJ22" s="370">
        <v>0</v>
      </c>
      <c r="CK22" s="370">
        <v>0</v>
      </c>
      <c r="CL22" s="370">
        <v>0</v>
      </c>
      <c r="CM22" s="394">
        <v>17638400</v>
      </c>
      <c r="CN22" s="374">
        <f t="shared" si="12"/>
        <v>0</v>
      </c>
      <c r="CO22" s="370">
        <f t="shared" si="13"/>
        <v>0</v>
      </c>
      <c r="CP22" s="370">
        <v>0</v>
      </c>
      <c r="CQ22" s="370">
        <v>0</v>
      </c>
      <c r="CR22" s="372">
        <v>0</v>
      </c>
      <c r="CS22" s="374">
        <v>0</v>
      </c>
      <c r="CT22" s="375">
        <f t="shared" si="14"/>
        <v>0</v>
      </c>
      <c r="CU22" s="370">
        <f t="shared" si="15"/>
        <v>0</v>
      </c>
      <c r="CV22" s="370">
        <v>0</v>
      </c>
      <c r="CW22" s="370">
        <v>0</v>
      </c>
      <c r="CX22" s="372">
        <v>1469866.6666666667</v>
      </c>
      <c r="CY22" s="374">
        <v>0</v>
      </c>
      <c r="CZ22" s="375">
        <f t="shared" si="16"/>
        <v>1469866.6666666667</v>
      </c>
      <c r="DA22" s="370">
        <f t="shared" si="17"/>
        <v>8.3333333333333343E-2</v>
      </c>
      <c r="DB22" s="370">
        <v>0</v>
      </c>
      <c r="DC22" s="370">
        <v>16168533.34</v>
      </c>
      <c r="DD22" s="372">
        <v>0</v>
      </c>
      <c r="DE22" s="374">
        <v>0</v>
      </c>
      <c r="DF22" s="375">
        <f t="shared" si="19"/>
        <v>16168533.34</v>
      </c>
      <c r="DG22" s="370">
        <f t="shared" si="20"/>
        <v>0.91666666704462985</v>
      </c>
      <c r="DH22" s="376">
        <f t="shared" si="21"/>
        <v>17638400</v>
      </c>
      <c r="DI22" s="376">
        <f t="shared" si="22"/>
        <v>17638400.006666668</v>
      </c>
      <c r="DJ22" s="370">
        <f t="shared" si="23"/>
        <v>1</v>
      </c>
      <c r="DK22" s="370"/>
      <c r="DL22" s="377">
        <f t="shared" si="24"/>
        <v>17638400</v>
      </c>
      <c r="DM22" s="370">
        <f t="shared" si="25"/>
        <v>17638400</v>
      </c>
      <c r="DN22" s="370">
        <f t="shared" si="26"/>
        <v>0</v>
      </c>
      <c r="DO22" s="370">
        <f t="shared" si="27"/>
        <v>0</v>
      </c>
      <c r="DP22" s="370">
        <f t="shared" si="28"/>
        <v>0</v>
      </c>
      <c r="DQ22" s="378">
        <f t="shared" si="29"/>
        <v>17638400.006666668</v>
      </c>
      <c r="DR22" s="370">
        <f t="shared" si="30"/>
        <v>0</v>
      </c>
      <c r="DS22" s="370">
        <f t="shared" si="31"/>
        <v>0</v>
      </c>
      <c r="DT22" s="370">
        <f t="shared" si="32"/>
        <v>1469866.6666666667</v>
      </c>
      <c r="DU22" s="370">
        <f t="shared" si="33"/>
        <v>16168533.34</v>
      </c>
      <c r="DW22" s="370">
        <v>0</v>
      </c>
      <c r="DX22" s="372">
        <v>1469866.6666666667</v>
      </c>
      <c r="DY22" s="300">
        <v>0</v>
      </c>
      <c r="DZ22" s="381">
        <f t="shared" si="34"/>
        <v>1587456</v>
      </c>
      <c r="EA22" s="382">
        <f t="shared" si="35"/>
        <v>19225856</v>
      </c>
      <c r="EB22" s="608"/>
    </row>
    <row r="23" spans="1:132" ht="134.25" hidden="1" customHeight="1" thickTop="1" thickBot="1">
      <c r="A23" s="133">
        <v>1</v>
      </c>
      <c r="B23" s="411" t="s">
        <v>6</v>
      </c>
      <c r="C23" s="135" t="s">
        <v>304</v>
      </c>
      <c r="D23" s="135" t="s">
        <v>305</v>
      </c>
      <c r="E23" s="412" t="s">
        <v>114</v>
      </c>
      <c r="F23" s="347" t="s">
        <v>306</v>
      </c>
      <c r="G23" s="412" t="s">
        <v>381</v>
      </c>
      <c r="H23" s="32" t="s">
        <v>384</v>
      </c>
      <c r="I23" s="32" t="s">
        <v>785</v>
      </c>
      <c r="J23" s="32">
        <v>34</v>
      </c>
      <c r="K23" s="348" t="s">
        <v>786</v>
      </c>
      <c r="L23" s="40" t="s">
        <v>787</v>
      </c>
      <c r="M23" s="40" t="s">
        <v>788</v>
      </c>
      <c r="N23" s="349" t="s">
        <v>11</v>
      </c>
      <c r="O23" s="350">
        <v>19</v>
      </c>
      <c r="P23" s="39" t="s">
        <v>19</v>
      </c>
      <c r="Q23" s="32">
        <v>1905</v>
      </c>
      <c r="R23" s="351">
        <v>1905022</v>
      </c>
      <c r="S23" s="39" t="s">
        <v>36</v>
      </c>
      <c r="T23" s="39" t="s">
        <v>388</v>
      </c>
      <c r="U23" s="32">
        <v>190502200</v>
      </c>
      <c r="V23" s="40" t="s">
        <v>37</v>
      </c>
      <c r="W23" s="355" t="s">
        <v>316</v>
      </c>
      <c r="X23" s="666"/>
      <c r="Y23" s="355"/>
      <c r="Z23" s="355"/>
      <c r="AA23" s="355"/>
      <c r="AB23" s="355"/>
      <c r="AC23" s="355"/>
      <c r="AD23" s="355"/>
      <c r="AE23" s="355"/>
      <c r="AF23" s="355"/>
      <c r="AG23" s="355"/>
      <c r="AH23" s="669"/>
      <c r="AI23" s="357" t="s">
        <v>175</v>
      </c>
      <c r="AJ23" s="80">
        <v>1</v>
      </c>
      <c r="AK23" s="80">
        <v>1</v>
      </c>
      <c r="AL23" s="80">
        <v>1</v>
      </c>
      <c r="AM23" s="80">
        <v>1</v>
      </c>
      <c r="AN23" s="80">
        <v>1</v>
      </c>
      <c r="AO23" s="358">
        <v>1</v>
      </c>
      <c r="AP23" s="33">
        <f t="shared" si="1"/>
        <v>4</v>
      </c>
      <c r="AQ23" s="359" t="s">
        <v>316</v>
      </c>
      <c r="AR23" s="25">
        <v>0</v>
      </c>
      <c r="AS23" s="25">
        <v>1</v>
      </c>
      <c r="AT23" s="25">
        <v>2</v>
      </c>
      <c r="AU23" s="25">
        <v>1</v>
      </c>
      <c r="AV23" s="392" t="s">
        <v>739</v>
      </c>
      <c r="AW23" s="392" t="s">
        <v>740</v>
      </c>
      <c r="AX23" s="39" t="s">
        <v>789</v>
      </c>
      <c r="AY23" s="25">
        <v>382</v>
      </c>
      <c r="AZ23" s="39" t="s">
        <v>729</v>
      </c>
      <c r="BA23" s="40" t="s">
        <v>36</v>
      </c>
      <c r="BB23" s="360" t="s">
        <v>730</v>
      </c>
      <c r="BC23" s="361" t="s">
        <v>683</v>
      </c>
      <c r="BD23" s="40" t="s">
        <v>731</v>
      </c>
      <c r="BE23" s="391">
        <v>3885960</v>
      </c>
      <c r="BF23" s="363" t="s">
        <v>771</v>
      </c>
      <c r="BG23" s="364" t="s">
        <v>790</v>
      </c>
      <c r="BH23" s="365" t="s">
        <v>791</v>
      </c>
      <c r="BI23" s="365"/>
      <c r="BJ23" s="26" t="s">
        <v>792</v>
      </c>
      <c r="BK23" s="26" t="s">
        <v>793</v>
      </c>
      <c r="BL23" s="359">
        <v>0</v>
      </c>
      <c r="BM23" s="359">
        <v>0</v>
      </c>
      <c r="BN23" s="359">
        <v>0</v>
      </c>
      <c r="BO23" s="366">
        <f t="shared" si="2"/>
        <v>0</v>
      </c>
      <c r="BP23" s="367">
        <f t="shared" si="3"/>
        <v>0</v>
      </c>
      <c r="BQ23" s="359">
        <v>0</v>
      </c>
      <c r="BR23" s="359">
        <v>0</v>
      </c>
      <c r="BS23" s="359">
        <v>0</v>
      </c>
      <c r="BT23" s="366">
        <f t="shared" si="4"/>
        <v>0</v>
      </c>
      <c r="BU23" s="367">
        <f t="shared" si="5"/>
        <v>0</v>
      </c>
      <c r="BV23" s="359">
        <v>1</v>
      </c>
      <c r="BW23" s="359">
        <v>1</v>
      </c>
      <c r="BX23" s="359">
        <v>1</v>
      </c>
      <c r="BY23" s="366">
        <f t="shared" si="6"/>
        <v>3</v>
      </c>
      <c r="BZ23" s="367">
        <f t="shared" si="7"/>
        <v>0.75</v>
      </c>
      <c r="CA23" s="359">
        <v>0</v>
      </c>
      <c r="CB23" s="359">
        <v>0</v>
      </c>
      <c r="CC23" s="359">
        <v>0</v>
      </c>
      <c r="CD23" s="366">
        <f t="shared" si="8"/>
        <v>0</v>
      </c>
      <c r="CE23" s="367">
        <f t="shared" si="9"/>
        <v>0</v>
      </c>
      <c r="CF23" s="368">
        <f t="shared" si="10"/>
        <v>3</v>
      </c>
      <c r="CG23" s="359">
        <f t="shared" si="11"/>
        <v>0.75</v>
      </c>
      <c r="CH23" s="369"/>
      <c r="CI23" s="369"/>
      <c r="CJ23" s="370">
        <v>0</v>
      </c>
      <c r="CK23" s="370">
        <v>0</v>
      </c>
      <c r="CL23" s="370">
        <v>0</v>
      </c>
      <c r="CM23" s="394">
        <v>3885960</v>
      </c>
      <c r="CN23" s="374">
        <f t="shared" si="12"/>
        <v>0</v>
      </c>
      <c r="CO23" s="370">
        <f t="shared" si="13"/>
        <v>0</v>
      </c>
      <c r="CP23" s="370">
        <v>0</v>
      </c>
      <c r="CQ23" s="370">
        <v>0</v>
      </c>
      <c r="CR23" s="372">
        <v>0</v>
      </c>
      <c r="CS23" s="374">
        <v>0</v>
      </c>
      <c r="CT23" s="375">
        <f t="shared" si="14"/>
        <v>0</v>
      </c>
      <c r="CU23" s="370">
        <f t="shared" si="15"/>
        <v>0</v>
      </c>
      <c r="CV23" s="370">
        <v>971490</v>
      </c>
      <c r="CW23" s="370">
        <v>971490</v>
      </c>
      <c r="CX23" s="372">
        <v>971490</v>
      </c>
      <c r="CY23" s="374">
        <v>0</v>
      </c>
      <c r="CZ23" s="375">
        <f t="shared" si="16"/>
        <v>2914470</v>
      </c>
      <c r="DA23" s="370">
        <f t="shared" si="17"/>
        <v>0.75</v>
      </c>
      <c r="DB23" s="370">
        <v>971490</v>
      </c>
      <c r="DC23" s="370">
        <v>0</v>
      </c>
      <c r="DD23" s="372">
        <v>0</v>
      </c>
      <c r="DE23" s="374">
        <v>0</v>
      </c>
      <c r="DF23" s="375">
        <f t="shared" si="19"/>
        <v>971490</v>
      </c>
      <c r="DG23" s="370">
        <f t="shared" si="20"/>
        <v>0.25</v>
      </c>
      <c r="DH23" s="376">
        <f t="shared" si="21"/>
        <v>3885960</v>
      </c>
      <c r="DI23" s="376">
        <f t="shared" si="22"/>
        <v>3885960</v>
      </c>
      <c r="DJ23" s="370">
        <f t="shared" si="23"/>
        <v>1</v>
      </c>
      <c r="DK23" s="370"/>
      <c r="DL23" s="377">
        <f t="shared" si="24"/>
        <v>3885960</v>
      </c>
      <c r="DM23" s="370">
        <f t="shared" si="25"/>
        <v>3885960</v>
      </c>
      <c r="DN23" s="370">
        <f t="shared" si="26"/>
        <v>0</v>
      </c>
      <c r="DO23" s="370">
        <f t="shared" si="27"/>
        <v>0</v>
      </c>
      <c r="DP23" s="370">
        <f t="shared" si="28"/>
        <v>0</v>
      </c>
      <c r="DQ23" s="378">
        <f t="shared" si="29"/>
        <v>3885960</v>
      </c>
      <c r="DR23" s="370">
        <f t="shared" si="30"/>
        <v>0</v>
      </c>
      <c r="DS23" s="370">
        <f t="shared" si="31"/>
        <v>0</v>
      </c>
      <c r="DT23" s="370">
        <f t="shared" si="32"/>
        <v>2914470</v>
      </c>
      <c r="DU23" s="370">
        <f t="shared" si="33"/>
        <v>971490</v>
      </c>
      <c r="DW23" s="370">
        <v>971490</v>
      </c>
      <c r="DX23" s="372">
        <v>971490</v>
      </c>
      <c r="DY23" s="300">
        <v>0</v>
      </c>
      <c r="DZ23" s="381">
        <f t="shared" si="34"/>
        <v>349736.39999999997</v>
      </c>
      <c r="EA23" s="382">
        <f t="shared" si="35"/>
        <v>4235696.4000000004</v>
      </c>
      <c r="EB23" s="608"/>
    </row>
    <row r="24" spans="1:132" ht="120.75" hidden="1" customHeight="1" thickTop="1" thickBot="1">
      <c r="A24" s="133">
        <v>1</v>
      </c>
      <c r="B24" s="411" t="s">
        <v>6</v>
      </c>
      <c r="C24" s="135" t="s">
        <v>304</v>
      </c>
      <c r="D24" s="135" t="s">
        <v>305</v>
      </c>
      <c r="E24" s="412" t="s">
        <v>114</v>
      </c>
      <c r="F24" s="347" t="s">
        <v>306</v>
      </c>
      <c r="G24" s="412" t="s">
        <v>381</v>
      </c>
      <c r="H24" s="32" t="s">
        <v>384</v>
      </c>
      <c r="I24" s="32" t="s">
        <v>785</v>
      </c>
      <c r="J24" s="32">
        <v>34</v>
      </c>
      <c r="K24" s="348" t="s">
        <v>786</v>
      </c>
      <c r="L24" s="40" t="s">
        <v>787</v>
      </c>
      <c r="M24" s="40" t="s">
        <v>788</v>
      </c>
      <c r="N24" s="349" t="s">
        <v>11</v>
      </c>
      <c r="O24" s="350">
        <v>19</v>
      </c>
      <c r="P24" s="39" t="s">
        <v>19</v>
      </c>
      <c r="Q24" s="32">
        <v>1905</v>
      </c>
      <c r="R24" s="351">
        <v>1905022</v>
      </c>
      <c r="S24" s="39" t="s">
        <v>36</v>
      </c>
      <c r="T24" s="39" t="s">
        <v>388</v>
      </c>
      <c r="U24" s="32">
        <v>190502200</v>
      </c>
      <c r="V24" s="40" t="s">
        <v>37</v>
      </c>
      <c r="W24" s="355" t="s">
        <v>316</v>
      </c>
      <c r="X24" s="666"/>
      <c r="Y24" s="355"/>
      <c r="Z24" s="355"/>
      <c r="AA24" s="355"/>
      <c r="AB24" s="355"/>
      <c r="AC24" s="355"/>
      <c r="AD24" s="355"/>
      <c r="AE24" s="355"/>
      <c r="AF24" s="355"/>
      <c r="AG24" s="355"/>
      <c r="AH24" s="669"/>
      <c r="AI24" s="357" t="s">
        <v>176</v>
      </c>
      <c r="AJ24" s="80">
        <v>1</v>
      </c>
      <c r="AK24" s="80">
        <v>1</v>
      </c>
      <c r="AL24" s="80">
        <v>1</v>
      </c>
      <c r="AM24" s="80">
        <v>1</v>
      </c>
      <c r="AN24" s="80">
        <v>1</v>
      </c>
      <c r="AO24" s="358">
        <v>1</v>
      </c>
      <c r="AP24" s="33">
        <f t="shared" si="1"/>
        <v>2</v>
      </c>
      <c r="AQ24" s="359" t="s">
        <v>316</v>
      </c>
      <c r="AR24" s="25">
        <v>0</v>
      </c>
      <c r="AS24" s="25">
        <v>0</v>
      </c>
      <c r="AT24" s="25">
        <v>1</v>
      </c>
      <c r="AU24" s="25">
        <v>1</v>
      </c>
      <c r="AV24" s="392" t="s">
        <v>739</v>
      </c>
      <c r="AW24" s="392" t="s">
        <v>740</v>
      </c>
      <c r="AX24" s="39" t="s">
        <v>789</v>
      </c>
      <c r="AY24" s="25">
        <v>382</v>
      </c>
      <c r="AZ24" s="39" t="s">
        <v>729</v>
      </c>
      <c r="BA24" s="40" t="s">
        <v>36</v>
      </c>
      <c r="BB24" s="360" t="s">
        <v>730</v>
      </c>
      <c r="BC24" s="361" t="s">
        <v>683</v>
      </c>
      <c r="BD24" s="40" t="s">
        <v>731</v>
      </c>
      <c r="BE24" s="391">
        <v>17638400</v>
      </c>
      <c r="BF24" s="363" t="s">
        <v>771</v>
      </c>
      <c r="BG24" s="364" t="s">
        <v>790</v>
      </c>
      <c r="BH24" s="365" t="s">
        <v>791</v>
      </c>
      <c r="BI24" s="365"/>
      <c r="BJ24" s="26" t="s">
        <v>792</v>
      </c>
      <c r="BK24" s="26" t="s">
        <v>793</v>
      </c>
      <c r="BL24" s="359">
        <v>0</v>
      </c>
      <c r="BM24" s="359">
        <v>0</v>
      </c>
      <c r="BN24" s="359">
        <v>0</v>
      </c>
      <c r="BO24" s="366">
        <f t="shared" si="2"/>
        <v>0</v>
      </c>
      <c r="BP24" s="367">
        <f t="shared" si="3"/>
        <v>0</v>
      </c>
      <c r="BQ24" s="359">
        <v>0</v>
      </c>
      <c r="BR24" s="359">
        <v>0</v>
      </c>
      <c r="BS24" s="359">
        <v>0</v>
      </c>
      <c r="BT24" s="366">
        <f t="shared" si="4"/>
        <v>0</v>
      </c>
      <c r="BU24" s="367">
        <f t="shared" si="5"/>
        <v>0</v>
      </c>
      <c r="BV24" s="359">
        <v>0</v>
      </c>
      <c r="BW24" s="359">
        <v>0</v>
      </c>
      <c r="BX24" s="359">
        <v>1</v>
      </c>
      <c r="BY24" s="366">
        <f t="shared" si="6"/>
        <v>1</v>
      </c>
      <c r="BZ24" s="367">
        <f t="shared" si="7"/>
        <v>0.5</v>
      </c>
      <c r="CA24" s="359">
        <v>0</v>
      </c>
      <c r="CB24" s="359">
        <v>0</v>
      </c>
      <c r="CC24" s="359">
        <v>0</v>
      </c>
      <c r="CD24" s="366">
        <f t="shared" si="8"/>
        <v>0</v>
      </c>
      <c r="CE24" s="367">
        <f t="shared" si="9"/>
        <v>0</v>
      </c>
      <c r="CF24" s="368">
        <f t="shared" si="10"/>
        <v>1</v>
      </c>
      <c r="CG24" s="359">
        <f t="shared" si="11"/>
        <v>0.5</v>
      </c>
      <c r="CH24" s="369"/>
      <c r="CI24" s="369"/>
      <c r="CJ24" s="370">
        <v>0</v>
      </c>
      <c r="CK24" s="370">
        <v>0</v>
      </c>
      <c r="CL24" s="370">
        <v>0</v>
      </c>
      <c r="CM24" s="394">
        <v>17638400</v>
      </c>
      <c r="CN24" s="374">
        <f t="shared" si="12"/>
        <v>0</v>
      </c>
      <c r="CO24" s="370">
        <f t="shared" si="13"/>
        <v>0</v>
      </c>
      <c r="CP24" s="370">
        <v>0</v>
      </c>
      <c r="CQ24" s="370">
        <v>0</v>
      </c>
      <c r="CR24" s="372">
        <v>0</v>
      </c>
      <c r="CS24" s="374">
        <v>0</v>
      </c>
      <c r="CT24" s="375">
        <f t="shared" si="14"/>
        <v>0</v>
      </c>
      <c r="CU24" s="370">
        <f t="shared" si="15"/>
        <v>0</v>
      </c>
      <c r="CV24" s="370">
        <v>0</v>
      </c>
      <c r="CW24" s="370">
        <v>0</v>
      </c>
      <c r="CX24" s="372">
        <v>0</v>
      </c>
      <c r="CY24" s="374">
        <v>0</v>
      </c>
      <c r="CZ24" s="375">
        <f t="shared" si="16"/>
        <v>0</v>
      </c>
      <c r="DA24" s="370">
        <f t="shared" si="17"/>
        <v>0</v>
      </c>
      <c r="DB24" s="370">
        <v>8819200</v>
      </c>
      <c r="DC24" s="370">
        <v>8819200</v>
      </c>
      <c r="DD24" s="372">
        <v>0</v>
      </c>
      <c r="DE24" s="374">
        <v>0</v>
      </c>
      <c r="DF24" s="375">
        <f t="shared" si="19"/>
        <v>17638400</v>
      </c>
      <c r="DG24" s="370">
        <f t="shared" si="20"/>
        <v>1</v>
      </c>
      <c r="DH24" s="376">
        <f t="shared" si="21"/>
        <v>17638400</v>
      </c>
      <c r="DI24" s="376">
        <f t="shared" si="22"/>
        <v>17638400</v>
      </c>
      <c r="DJ24" s="370">
        <f t="shared" si="23"/>
        <v>1</v>
      </c>
      <c r="DK24" s="370"/>
      <c r="DL24" s="377">
        <f t="shared" si="24"/>
        <v>17638400</v>
      </c>
      <c r="DM24" s="370">
        <f t="shared" si="25"/>
        <v>17638400</v>
      </c>
      <c r="DN24" s="370">
        <f t="shared" si="26"/>
        <v>0</v>
      </c>
      <c r="DO24" s="370">
        <f t="shared" si="27"/>
        <v>0</v>
      </c>
      <c r="DP24" s="370">
        <f t="shared" si="28"/>
        <v>0</v>
      </c>
      <c r="DQ24" s="378">
        <f t="shared" si="29"/>
        <v>17638400</v>
      </c>
      <c r="DR24" s="370">
        <f t="shared" si="30"/>
        <v>0</v>
      </c>
      <c r="DS24" s="370">
        <f t="shared" si="31"/>
        <v>0</v>
      </c>
      <c r="DT24" s="370">
        <f t="shared" si="32"/>
        <v>0</v>
      </c>
      <c r="DU24" s="370">
        <f t="shared" si="33"/>
        <v>17638400</v>
      </c>
      <c r="DW24" s="370">
        <v>0</v>
      </c>
      <c r="DX24" s="372">
        <v>0</v>
      </c>
      <c r="DY24" s="300">
        <v>0</v>
      </c>
      <c r="DZ24" s="381">
        <f t="shared" si="34"/>
        <v>1587456</v>
      </c>
      <c r="EA24" s="382">
        <f t="shared" si="35"/>
        <v>19225856</v>
      </c>
      <c r="EB24" s="608"/>
    </row>
    <row r="25" spans="1:132" ht="134.25" hidden="1" customHeight="1" thickTop="1" thickBot="1">
      <c r="A25" s="133">
        <v>1</v>
      </c>
      <c r="B25" s="411" t="s">
        <v>6</v>
      </c>
      <c r="C25" s="135" t="s">
        <v>304</v>
      </c>
      <c r="D25" s="135" t="s">
        <v>305</v>
      </c>
      <c r="E25" s="412" t="s">
        <v>114</v>
      </c>
      <c r="F25" s="347" t="s">
        <v>306</v>
      </c>
      <c r="G25" s="412" t="s">
        <v>381</v>
      </c>
      <c r="H25" s="32" t="s">
        <v>384</v>
      </c>
      <c r="I25" s="32" t="s">
        <v>785</v>
      </c>
      <c r="J25" s="32">
        <v>34</v>
      </c>
      <c r="K25" s="348" t="s">
        <v>786</v>
      </c>
      <c r="L25" s="40" t="s">
        <v>787</v>
      </c>
      <c r="M25" s="40" t="s">
        <v>788</v>
      </c>
      <c r="N25" s="349" t="s">
        <v>11</v>
      </c>
      <c r="O25" s="350">
        <v>19</v>
      </c>
      <c r="P25" s="39" t="s">
        <v>19</v>
      </c>
      <c r="Q25" s="32">
        <v>1905</v>
      </c>
      <c r="R25" s="351">
        <v>1905022</v>
      </c>
      <c r="S25" s="39" t="s">
        <v>36</v>
      </c>
      <c r="T25" s="39" t="s">
        <v>388</v>
      </c>
      <c r="U25" s="32">
        <v>190502200</v>
      </c>
      <c r="V25" s="40" t="s">
        <v>37</v>
      </c>
      <c r="W25" s="355" t="s">
        <v>316</v>
      </c>
      <c r="X25" s="667"/>
      <c r="Y25" s="355"/>
      <c r="Z25" s="355"/>
      <c r="AA25" s="355"/>
      <c r="AB25" s="355"/>
      <c r="AC25" s="355"/>
      <c r="AD25" s="355"/>
      <c r="AE25" s="355"/>
      <c r="AF25" s="355"/>
      <c r="AG25" s="355"/>
      <c r="AH25" s="670"/>
      <c r="AI25" s="357" t="s">
        <v>177</v>
      </c>
      <c r="AJ25" s="80">
        <v>1</v>
      </c>
      <c r="AK25" s="80">
        <v>1</v>
      </c>
      <c r="AL25" s="80">
        <v>1</v>
      </c>
      <c r="AM25" s="80">
        <v>1</v>
      </c>
      <c r="AN25" s="80">
        <v>1</v>
      </c>
      <c r="AO25" s="358">
        <v>1</v>
      </c>
      <c r="AP25" s="33">
        <f t="shared" si="1"/>
        <v>30</v>
      </c>
      <c r="AQ25" s="359" t="s">
        <v>316</v>
      </c>
      <c r="AR25" s="25">
        <v>0</v>
      </c>
      <c r="AS25" s="25">
        <v>6</v>
      </c>
      <c r="AT25" s="25">
        <v>12</v>
      </c>
      <c r="AU25" s="25">
        <v>12</v>
      </c>
      <c r="AV25" s="392" t="s">
        <v>739</v>
      </c>
      <c r="AW25" s="392" t="s">
        <v>740</v>
      </c>
      <c r="AX25" s="39" t="s">
        <v>789</v>
      </c>
      <c r="AY25" s="25">
        <v>382</v>
      </c>
      <c r="AZ25" s="39" t="s">
        <v>729</v>
      </c>
      <c r="BA25" s="40" t="s">
        <v>36</v>
      </c>
      <c r="BB25" s="360" t="s">
        <v>730</v>
      </c>
      <c r="BC25" s="361" t="s">
        <v>683</v>
      </c>
      <c r="BD25" s="40" t="s">
        <v>731</v>
      </c>
      <c r="BE25" s="391">
        <v>20140000</v>
      </c>
      <c r="BF25" s="363" t="s">
        <v>771</v>
      </c>
      <c r="BG25" s="364" t="s">
        <v>790</v>
      </c>
      <c r="BH25" s="365" t="s">
        <v>791</v>
      </c>
      <c r="BI25" s="365"/>
      <c r="BJ25" s="26" t="s">
        <v>792</v>
      </c>
      <c r="BK25" s="26" t="s">
        <v>793</v>
      </c>
      <c r="BL25" s="359">
        <v>0</v>
      </c>
      <c r="BM25" s="359">
        <v>0</v>
      </c>
      <c r="BN25" s="359">
        <v>0</v>
      </c>
      <c r="BO25" s="366">
        <f t="shared" si="2"/>
        <v>0</v>
      </c>
      <c r="BP25" s="367">
        <f t="shared" si="3"/>
        <v>0</v>
      </c>
      <c r="BQ25" s="359">
        <v>0</v>
      </c>
      <c r="BR25" s="359">
        <v>1</v>
      </c>
      <c r="BS25" s="359">
        <v>2</v>
      </c>
      <c r="BT25" s="366">
        <f t="shared" si="4"/>
        <v>3</v>
      </c>
      <c r="BU25" s="367">
        <f t="shared" si="5"/>
        <v>0.1</v>
      </c>
      <c r="BV25" s="359">
        <v>3</v>
      </c>
      <c r="BW25" s="359">
        <v>5</v>
      </c>
      <c r="BX25" s="359">
        <v>3</v>
      </c>
      <c r="BY25" s="366">
        <f t="shared" si="6"/>
        <v>11</v>
      </c>
      <c r="BZ25" s="367">
        <f t="shared" si="7"/>
        <v>0.36666666666666664</v>
      </c>
      <c r="CA25" s="359">
        <v>0</v>
      </c>
      <c r="CB25" s="359">
        <v>0</v>
      </c>
      <c r="CC25" s="359">
        <v>0</v>
      </c>
      <c r="CD25" s="366">
        <f t="shared" si="8"/>
        <v>0</v>
      </c>
      <c r="CE25" s="367">
        <f t="shared" si="9"/>
        <v>0</v>
      </c>
      <c r="CF25" s="368">
        <f t="shared" si="10"/>
        <v>14</v>
      </c>
      <c r="CG25" s="359">
        <f t="shared" si="11"/>
        <v>0.46666666666666667</v>
      </c>
      <c r="CH25" s="369"/>
      <c r="CI25" s="369"/>
      <c r="CJ25" s="370">
        <v>0</v>
      </c>
      <c r="CK25" s="370">
        <v>0</v>
      </c>
      <c r="CL25" s="370">
        <v>0</v>
      </c>
      <c r="CM25" s="394">
        <v>20140000</v>
      </c>
      <c r="CN25" s="374">
        <f t="shared" si="12"/>
        <v>0</v>
      </c>
      <c r="CO25" s="370">
        <f t="shared" si="13"/>
        <v>0</v>
      </c>
      <c r="CP25" s="370">
        <v>0</v>
      </c>
      <c r="CQ25" s="370">
        <v>0</v>
      </c>
      <c r="CR25" s="372">
        <v>671333.33333333337</v>
      </c>
      <c r="CS25" s="374">
        <v>0</v>
      </c>
      <c r="CT25" s="375">
        <f t="shared" si="14"/>
        <v>671333.33333333337</v>
      </c>
      <c r="CU25" s="370">
        <f t="shared" si="15"/>
        <v>3.3333333333333333E-2</v>
      </c>
      <c r="CV25" s="370">
        <v>1342666.6666666667</v>
      </c>
      <c r="CW25" s="370">
        <v>2014000</v>
      </c>
      <c r="CX25" s="372">
        <v>3356666.666666667</v>
      </c>
      <c r="CY25" s="374">
        <v>0</v>
      </c>
      <c r="CZ25" s="375">
        <f t="shared" si="16"/>
        <v>6713333.333333334</v>
      </c>
      <c r="DA25" s="370">
        <f t="shared" si="17"/>
        <v>0.33333333333333337</v>
      </c>
      <c r="DB25" s="370">
        <v>2014000</v>
      </c>
      <c r="DC25" s="370">
        <v>2014000</v>
      </c>
      <c r="DD25" s="372">
        <v>0</v>
      </c>
      <c r="DE25" s="374">
        <v>0</v>
      </c>
      <c r="DF25" s="375">
        <f t="shared" si="19"/>
        <v>4028000</v>
      </c>
      <c r="DG25" s="370">
        <f t="shared" si="20"/>
        <v>0.2</v>
      </c>
      <c r="DH25" s="376">
        <f t="shared" si="21"/>
        <v>20140000</v>
      </c>
      <c r="DI25" s="376">
        <f t="shared" si="22"/>
        <v>11412666.666666668</v>
      </c>
      <c r="DJ25" s="370">
        <f t="shared" si="23"/>
        <v>1</v>
      </c>
      <c r="DK25" s="370"/>
      <c r="DL25" s="377">
        <f t="shared" si="24"/>
        <v>20140000</v>
      </c>
      <c r="DM25" s="370">
        <f t="shared" si="25"/>
        <v>20140000</v>
      </c>
      <c r="DN25" s="370">
        <f t="shared" si="26"/>
        <v>0</v>
      </c>
      <c r="DO25" s="370">
        <f t="shared" si="27"/>
        <v>0</v>
      </c>
      <c r="DP25" s="370">
        <f t="shared" si="28"/>
        <v>0</v>
      </c>
      <c r="DQ25" s="378">
        <f t="shared" si="29"/>
        <v>11412666.666666668</v>
      </c>
      <c r="DR25" s="370">
        <f t="shared" si="30"/>
        <v>0</v>
      </c>
      <c r="DS25" s="370">
        <f t="shared" si="31"/>
        <v>671333.33333333337</v>
      </c>
      <c r="DT25" s="370">
        <f t="shared" si="32"/>
        <v>6713333.333333334</v>
      </c>
      <c r="DU25" s="370">
        <f t="shared" si="33"/>
        <v>4028000</v>
      </c>
      <c r="DW25" s="370">
        <v>2014000</v>
      </c>
      <c r="DX25" s="372">
        <v>3356666.666666667</v>
      </c>
      <c r="DY25" s="300">
        <v>0</v>
      </c>
      <c r="DZ25" s="381">
        <f t="shared" si="34"/>
        <v>1812600</v>
      </c>
      <c r="EA25" s="382">
        <f t="shared" si="35"/>
        <v>21952600</v>
      </c>
      <c r="EB25" s="608"/>
    </row>
    <row r="26" spans="1:132" ht="126.75" hidden="1" customHeight="1" thickTop="1" thickBot="1">
      <c r="A26" s="133">
        <v>1</v>
      </c>
      <c r="B26" s="411" t="s">
        <v>6</v>
      </c>
      <c r="C26" s="135" t="s">
        <v>304</v>
      </c>
      <c r="D26" s="135" t="s">
        <v>305</v>
      </c>
      <c r="E26" s="412" t="s">
        <v>114</v>
      </c>
      <c r="F26" s="347" t="s">
        <v>306</v>
      </c>
      <c r="G26" s="412" t="s">
        <v>381</v>
      </c>
      <c r="H26" s="347" t="s">
        <v>392</v>
      </c>
      <c r="I26" s="347" t="s">
        <v>795</v>
      </c>
      <c r="J26" s="32">
        <v>35</v>
      </c>
      <c r="K26" s="348" t="s">
        <v>394</v>
      </c>
      <c r="L26" s="40" t="s">
        <v>395</v>
      </c>
      <c r="M26" s="40" t="s">
        <v>788</v>
      </c>
      <c r="N26" s="349" t="s">
        <v>11</v>
      </c>
      <c r="O26" s="350">
        <v>19</v>
      </c>
      <c r="P26" s="39" t="s">
        <v>19</v>
      </c>
      <c r="Q26" s="32">
        <v>1905</v>
      </c>
      <c r="R26" s="351">
        <v>1905022</v>
      </c>
      <c r="S26" s="39" t="s">
        <v>36</v>
      </c>
      <c r="T26" s="39" t="s">
        <v>388</v>
      </c>
      <c r="U26" s="32">
        <v>190502200</v>
      </c>
      <c r="V26" s="40" t="s">
        <v>37</v>
      </c>
      <c r="W26" s="355" t="s">
        <v>316</v>
      </c>
      <c r="X26" s="665">
        <f>SUM(BE26:BE29)</f>
        <v>69037800</v>
      </c>
      <c r="Y26" s="355"/>
      <c r="Z26" s="355"/>
      <c r="AA26" s="355"/>
      <c r="AB26" s="355"/>
      <c r="AC26" s="355"/>
      <c r="AD26" s="355"/>
      <c r="AE26" s="355"/>
      <c r="AF26" s="355"/>
      <c r="AG26" s="355"/>
      <c r="AH26" s="668">
        <f t="shared" si="0"/>
        <v>69037800</v>
      </c>
      <c r="AI26" s="357" t="s">
        <v>178</v>
      </c>
      <c r="AJ26" s="80">
        <v>1</v>
      </c>
      <c r="AK26" s="80">
        <v>1</v>
      </c>
      <c r="AL26" s="80">
        <v>1</v>
      </c>
      <c r="AM26" s="80">
        <v>1</v>
      </c>
      <c r="AN26" s="80">
        <v>1</v>
      </c>
      <c r="AO26" s="358">
        <v>1</v>
      </c>
      <c r="AP26" s="33">
        <f t="shared" si="1"/>
        <v>100</v>
      </c>
      <c r="AQ26" s="359" t="s">
        <v>707</v>
      </c>
      <c r="AR26" s="25">
        <v>0</v>
      </c>
      <c r="AS26" s="25">
        <v>33</v>
      </c>
      <c r="AT26" s="25">
        <v>34</v>
      </c>
      <c r="AU26" s="25">
        <v>33</v>
      </c>
      <c r="AV26" s="392" t="s">
        <v>739</v>
      </c>
      <c r="AW26" s="392" t="s">
        <v>740</v>
      </c>
      <c r="AX26" s="39" t="s">
        <v>796</v>
      </c>
      <c r="AY26" s="25">
        <v>383</v>
      </c>
      <c r="AZ26" s="39" t="s">
        <v>729</v>
      </c>
      <c r="BA26" s="40" t="s">
        <v>36</v>
      </c>
      <c r="BB26" s="360" t="s">
        <v>730</v>
      </c>
      <c r="BC26" s="361" t="s">
        <v>683</v>
      </c>
      <c r="BD26" s="40" t="s">
        <v>731</v>
      </c>
      <c r="BE26" s="391">
        <v>22344800</v>
      </c>
      <c r="BF26" s="363" t="s">
        <v>771</v>
      </c>
      <c r="BG26" s="364" t="s">
        <v>797</v>
      </c>
      <c r="BH26" s="365" t="s">
        <v>798</v>
      </c>
      <c r="BI26" s="365"/>
      <c r="BJ26" s="26" t="s">
        <v>799</v>
      </c>
      <c r="BK26" s="26" t="s">
        <v>800</v>
      </c>
      <c r="BL26" s="359">
        <v>0</v>
      </c>
      <c r="BM26" s="359">
        <v>0</v>
      </c>
      <c r="BN26" s="359">
        <v>0</v>
      </c>
      <c r="BO26" s="366">
        <f t="shared" si="2"/>
        <v>0</v>
      </c>
      <c r="BP26" s="367">
        <f t="shared" si="3"/>
        <v>0</v>
      </c>
      <c r="BQ26" s="359">
        <v>0</v>
      </c>
      <c r="BR26" s="413">
        <v>20</v>
      </c>
      <c r="BS26" s="413">
        <v>20</v>
      </c>
      <c r="BT26" s="366">
        <f t="shared" si="4"/>
        <v>40</v>
      </c>
      <c r="BU26" s="367">
        <f t="shared" si="5"/>
        <v>0.4</v>
      </c>
      <c r="BV26" s="414">
        <v>20</v>
      </c>
      <c r="BW26" s="414">
        <v>20</v>
      </c>
      <c r="BX26" s="414">
        <v>20</v>
      </c>
      <c r="BY26" s="366">
        <f t="shared" si="6"/>
        <v>60</v>
      </c>
      <c r="BZ26" s="367">
        <f t="shared" si="7"/>
        <v>0.6</v>
      </c>
      <c r="CA26" s="359">
        <v>0</v>
      </c>
      <c r="CB26" s="359">
        <v>0</v>
      </c>
      <c r="CC26" s="359">
        <v>0</v>
      </c>
      <c r="CD26" s="366">
        <f t="shared" si="8"/>
        <v>0</v>
      </c>
      <c r="CE26" s="367">
        <f t="shared" si="9"/>
        <v>0</v>
      </c>
      <c r="CF26" s="368">
        <f t="shared" si="10"/>
        <v>100</v>
      </c>
      <c r="CG26" s="359">
        <f t="shared" si="11"/>
        <v>1</v>
      </c>
      <c r="CH26" s="369"/>
      <c r="CI26" s="369"/>
      <c r="CJ26" s="370">
        <v>0</v>
      </c>
      <c r="CK26" s="370">
        <v>0</v>
      </c>
      <c r="CL26" s="370">
        <v>0</v>
      </c>
      <c r="CM26" s="394">
        <v>22344800</v>
      </c>
      <c r="CN26" s="374">
        <f t="shared" si="12"/>
        <v>0</v>
      </c>
      <c r="CO26" s="370">
        <f t="shared" si="13"/>
        <v>0</v>
      </c>
      <c r="CP26" s="370">
        <v>0</v>
      </c>
      <c r="CQ26" s="370">
        <v>0</v>
      </c>
      <c r="CR26" s="372">
        <v>4468960</v>
      </c>
      <c r="CS26" s="374">
        <v>0</v>
      </c>
      <c r="CT26" s="375">
        <f t="shared" si="14"/>
        <v>4468960</v>
      </c>
      <c r="CU26" s="370">
        <f t="shared" si="15"/>
        <v>0.2</v>
      </c>
      <c r="CV26" s="370">
        <v>4468960</v>
      </c>
      <c r="CW26" s="370">
        <v>4468960</v>
      </c>
      <c r="CX26" s="372">
        <v>4468960</v>
      </c>
      <c r="CY26" s="374">
        <v>0</v>
      </c>
      <c r="CZ26" s="375">
        <f t="shared" si="16"/>
        <v>13406880</v>
      </c>
      <c r="DA26" s="370">
        <f t="shared" si="17"/>
        <v>0.6</v>
      </c>
      <c r="DB26" s="370">
        <v>4468960</v>
      </c>
      <c r="DC26" s="370">
        <v>0</v>
      </c>
      <c r="DD26" s="372">
        <v>0</v>
      </c>
      <c r="DE26" s="374">
        <v>0</v>
      </c>
      <c r="DF26" s="375">
        <f t="shared" si="19"/>
        <v>4468960</v>
      </c>
      <c r="DG26" s="370">
        <f t="shared" si="20"/>
        <v>0.2</v>
      </c>
      <c r="DH26" s="376">
        <f t="shared" si="21"/>
        <v>22344800</v>
      </c>
      <c r="DI26" s="376">
        <f t="shared" si="22"/>
        <v>22344800</v>
      </c>
      <c r="DJ26" s="370">
        <f t="shared" si="23"/>
        <v>1</v>
      </c>
      <c r="DK26" s="370"/>
      <c r="DL26" s="377">
        <f t="shared" si="24"/>
        <v>22344800</v>
      </c>
      <c r="DM26" s="370">
        <f t="shared" si="25"/>
        <v>22344800</v>
      </c>
      <c r="DN26" s="370">
        <f t="shared" si="26"/>
        <v>0</v>
      </c>
      <c r="DO26" s="370">
        <f t="shared" si="27"/>
        <v>0</v>
      </c>
      <c r="DP26" s="370">
        <f t="shared" si="28"/>
        <v>0</v>
      </c>
      <c r="DQ26" s="378">
        <f t="shared" si="29"/>
        <v>22344800</v>
      </c>
      <c r="DR26" s="370">
        <f t="shared" si="30"/>
        <v>0</v>
      </c>
      <c r="DS26" s="370">
        <f t="shared" si="31"/>
        <v>4468960</v>
      </c>
      <c r="DT26" s="370">
        <f t="shared" si="32"/>
        <v>13406880</v>
      </c>
      <c r="DU26" s="370">
        <f t="shared" si="33"/>
        <v>4468960</v>
      </c>
      <c r="DW26" s="370">
        <v>4468960</v>
      </c>
      <c r="DX26" s="372">
        <v>4468960</v>
      </c>
      <c r="DY26" s="300">
        <v>4468960</v>
      </c>
      <c r="DZ26" s="381">
        <f t="shared" si="34"/>
        <v>2011032</v>
      </c>
      <c r="EA26" s="571">
        <f t="shared" si="35"/>
        <v>24355832</v>
      </c>
      <c r="EB26" s="608"/>
    </row>
    <row r="27" spans="1:132" ht="156.75" hidden="1" customHeight="1" thickTop="1" thickBot="1">
      <c r="A27" s="133">
        <v>1</v>
      </c>
      <c r="B27" s="411" t="s">
        <v>6</v>
      </c>
      <c r="C27" s="135" t="s">
        <v>304</v>
      </c>
      <c r="D27" s="135" t="s">
        <v>305</v>
      </c>
      <c r="E27" s="412" t="s">
        <v>114</v>
      </c>
      <c r="F27" s="347" t="s">
        <v>306</v>
      </c>
      <c r="G27" s="412" t="s">
        <v>381</v>
      </c>
      <c r="H27" s="347" t="s">
        <v>392</v>
      </c>
      <c r="I27" s="347" t="s">
        <v>795</v>
      </c>
      <c r="J27" s="32">
        <v>35</v>
      </c>
      <c r="K27" s="348" t="s">
        <v>394</v>
      </c>
      <c r="L27" s="40" t="s">
        <v>395</v>
      </c>
      <c r="M27" s="40" t="s">
        <v>788</v>
      </c>
      <c r="N27" s="349" t="s">
        <v>11</v>
      </c>
      <c r="O27" s="350">
        <v>19</v>
      </c>
      <c r="P27" s="39" t="s">
        <v>19</v>
      </c>
      <c r="Q27" s="32">
        <v>1905</v>
      </c>
      <c r="R27" s="351">
        <v>1905022</v>
      </c>
      <c r="S27" s="39" t="s">
        <v>36</v>
      </c>
      <c r="T27" s="39" t="s">
        <v>388</v>
      </c>
      <c r="U27" s="32">
        <v>190502200</v>
      </c>
      <c r="V27" s="40" t="s">
        <v>37</v>
      </c>
      <c r="W27" s="355" t="s">
        <v>316</v>
      </c>
      <c r="X27" s="666"/>
      <c r="Y27" s="355"/>
      <c r="Z27" s="355"/>
      <c r="AA27" s="355"/>
      <c r="AB27" s="355"/>
      <c r="AC27" s="355"/>
      <c r="AD27" s="355"/>
      <c r="AE27" s="355"/>
      <c r="AF27" s="355"/>
      <c r="AG27" s="355"/>
      <c r="AH27" s="669"/>
      <c r="AI27" s="357" t="s">
        <v>179</v>
      </c>
      <c r="AJ27" s="80">
        <v>1</v>
      </c>
      <c r="AK27" s="80">
        <v>1</v>
      </c>
      <c r="AL27" s="80">
        <v>1</v>
      </c>
      <c r="AM27" s="80">
        <v>1</v>
      </c>
      <c r="AN27" s="80">
        <v>1</v>
      </c>
      <c r="AO27" s="358">
        <v>1</v>
      </c>
      <c r="AP27" s="33">
        <f t="shared" si="1"/>
        <v>54</v>
      </c>
      <c r="AQ27" s="359" t="s">
        <v>316</v>
      </c>
      <c r="AR27" s="25">
        <v>0</v>
      </c>
      <c r="AS27" s="25">
        <v>20</v>
      </c>
      <c r="AT27" s="25">
        <v>20</v>
      </c>
      <c r="AU27" s="25">
        <v>14</v>
      </c>
      <c r="AV27" s="392" t="s">
        <v>739</v>
      </c>
      <c r="AW27" s="392" t="s">
        <v>740</v>
      </c>
      <c r="AX27" s="39" t="s">
        <v>801</v>
      </c>
      <c r="AY27" s="25">
        <v>383</v>
      </c>
      <c r="AZ27" s="39" t="s">
        <v>729</v>
      </c>
      <c r="BA27" s="40" t="s">
        <v>36</v>
      </c>
      <c r="BB27" s="360" t="s">
        <v>730</v>
      </c>
      <c r="BC27" s="361" t="s">
        <v>683</v>
      </c>
      <c r="BD27" s="40" t="s">
        <v>731</v>
      </c>
      <c r="BE27" s="391">
        <v>7854600</v>
      </c>
      <c r="BF27" s="363" t="s">
        <v>771</v>
      </c>
      <c r="BG27" s="364" t="s">
        <v>797</v>
      </c>
      <c r="BH27" s="365" t="s">
        <v>798</v>
      </c>
      <c r="BI27" s="365"/>
      <c r="BJ27" s="26" t="s">
        <v>799</v>
      </c>
      <c r="BK27" s="26" t="s">
        <v>800</v>
      </c>
      <c r="BL27" s="359">
        <v>0</v>
      </c>
      <c r="BM27" s="359">
        <v>0</v>
      </c>
      <c r="BN27" s="359">
        <v>0</v>
      </c>
      <c r="BO27" s="366">
        <f t="shared" si="2"/>
        <v>0</v>
      </c>
      <c r="BP27" s="367">
        <f t="shared" si="3"/>
        <v>0</v>
      </c>
      <c r="BQ27" s="359">
        <v>0</v>
      </c>
      <c r="BR27" s="359">
        <v>4</v>
      </c>
      <c r="BS27" s="359">
        <v>9</v>
      </c>
      <c r="BT27" s="366">
        <f t="shared" si="4"/>
        <v>13</v>
      </c>
      <c r="BU27" s="367">
        <f t="shared" si="5"/>
        <v>0.24074074074074073</v>
      </c>
      <c r="BV27" s="359">
        <v>0</v>
      </c>
      <c r="BW27" s="359">
        <v>9</v>
      </c>
      <c r="BX27" s="359">
        <v>18</v>
      </c>
      <c r="BY27" s="366">
        <f t="shared" si="6"/>
        <v>27</v>
      </c>
      <c r="BZ27" s="367">
        <f t="shared" si="7"/>
        <v>0.5</v>
      </c>
      <c r="CA27" s="359">
        <v>0</v>
      </c>
      <c r="CB27" s="359">
        <v>0</v>
      </c>
      <c r="CC27" s="359">
        <v>0</v>
      </c>
      <c r="CD27" s="366">
        <f t="shared" si="8"/>
        <v>0</v>
      </c>
      <c r="CE27" s="367">
        <f t="shared" si="9"/>
        <v>0</v>
      </c>
      <c r="CF27" s="368">
        <f t="shared" si="10"/>
        <v>40</v>
      </c>
      <c r="CG27" s="359">
        <f t="shared" si="11"/>
        <v>0.7407407407407407</v>
      </c>
      <c r="CH27" s="369"/>
      <c r="CI27" s="369"/>
      <c r="CJ27" s="370">
        <v>0</v>
      </c>
      <c r="CK27" s="370">
        <v>0</v>
      </c>
      <c r="CL27" s="370">
        <v>0</v>
      </c>
      <c r="CM27" s="394">
        <v>7854600</v>
      </c>
      <c r="CN27" s="374">
        <f t="shared" si="12"/>
        <v>0</v>
      </c>
      <c r="CO27" s="370">
        <f t="shared" si="13"/>
        <v>0</v>
      </c>
      <c r="CP27" s="370">
        <v>0</v>
      </c>
      <c r="CQ27" s="370">
        <v>0</v>
      </c>
      <c r="CR27" s="372">
        <v>581822.22222222225</v>
      </c>
      <c r="CS27" s="374">
        <v>0</v>
      </c>
      <c r="CT27" s="375">
        <f>SUM(CP27:CR27)</f>
        <v>581822.22222222225</v>
      </c>
      <c r="CU27" s="370">
        <f t="shared" si="15"/>
        <v>7.4074074074074084E-2</v>
      </c>
      <c r="CV27" s="370">
        <v>1309100</v>
      </c>
      <c r="CW27" s="370">
        <v>0</v>
      </c>
      <c r="CX27" s="372">
        <v>1309100</v>
      </c>
      <c r="CY27" s="374">
        <v>0</v>
      </c>
      <c r="CZ27" s="375">
        <f t="shared" si="16"/>
        <v>2618200</v>
      </c>
      <c r="DA27" s="370">
        <f t="shared" si="17"/>
        <v>0.33333333333333331</v>
      </c>
      <c r="DB27" s="370">
        <v>2618200</v>
      </c>
      <c r="DC27" s="370">
        <v>2036377.78</v>
      </c>
      <c r="DD27" s="372">
        <v>0</v>
      </c>
      <c r="DE27" s="374">
        <v>0</v>
      </c>
      <c r="DF27" s="375">
        <f t="shared" si="19"/>
        <v>4654577.78</v>
      </c>
      <c r="DG27" s="370">
        <f t="shared" si="20"/>
        <v>0.59259259287551247</v>
      </c>
      <c r="DH27" s="376">
        <f t="shared" si="21"/>
        <v>7854600</v>
      </c>
      <c r="DI27" s="376">
        <f t="shared" si="22"/>
        <v>7854600.0022222223</v>
      </c>
      <c r="DJ27" s="370">
        <f t="shared" si="23"/>
        <v>1</v>
      </c>
      <c r="DK27" s="370"/>
      <c r="DL27" s="377">
        <f t="shared" si="24"/>
        <v>7854600</v>
      </c>
      <c r="DM27" s="370">
        <f t="shared" si="25"/>
        <v>7854600</v>
      </c>
      <c r="DN27" s="370">
        <f t="shared" si="26"/>
        <v>0</v>
      </c>
      <c r="DO27" s="370">
        <f t="shared" si="27"/>
        <v>0</v>
      </c>
      <c r="DP27" s="370">
        <f t="shared" si="28"/>
        <v>0</v>
      </c>
      <c r="DQ27" s="378">
        <f t="shared" si="29"/>
        <v>7854600.0022222223</v>
      </c>
      <c r="DR27" s="370">
        <f t="shared" si="30"/>
        <v>0</v>
      </c>
      <c r="DS27" s="370">
        <f t="shared" si="31"/>
        <v>581822.22222222225</v>
      </c>
      <c r="DT27" s="370">
        <f t="shared" si="32"/>
        <v>2618200</v>
      </c>
      <c r="DU27" s="370">
        <f t="shared" si="33"/>
        <v>4654577.78</v>
      </c>
      <c r="DW27" s="370">
        <v>0</v>
      </c>
      <c r="DX27" s="372">
        <v>1309100</v>
      </c>
      <c r="DY27" s="300">
        <v>0</v>
      </c>
      <c r="DZ27" s="381">
        <f t="shared" si="34"/>
        <v>706914</v>
      </c>
      <c r="EA27" s="571">
        <f t="shared" si="35"/>
        <v>8561514</v>
      </c>
      <c r="EB27" s="608"/>
    </row>
    <row r="28" spans="1:132" ht="161.25" hidden="1" customHeight="1" thickTop="1" thickBot="1">
      <c r="A28" s="133">
        <v>1</v>
      </c>
      <c r="B28" s="411" t="s">
        <v>6</v>
      </c>
      <c r="C28" s="135" t="s">
        <v>304</v>
      </c>
      <c r="D28" s="135" t="s">
        <v>305</v>
      </c>
      <c r="E28" s="412" t="s">
        <v>114</v>
      </c>
      <c r="F28" s="347" t="s">
        <v>306</v>
      </c>
      <c r="G28" s="412" t="s">
        <v>381</v>
      </c>
      <c r="H28" s="347" t="s">
        <v>392</v>
      </c>
      <c r="I28" s="347" t="s">
        <v>795</v>
      </c>
      <c r="J28" s="32">
        <v>35</v>
      </c>
      <c r="K28" s="348" t="s">
        <v>394</v>
      </c>
      <c r="L28" s="40" t="s">
        <v>395</v>
      </c>
      <c r="M28" s="40" t="s">
        <v>788</v>
      </c>
      <c r="N28" s="349" t="s">
        <v>11</v>
      </c>
      <c r="O28" s="350">
        <v>19</v>
      </c>
      <c r="P28" s="39" t="s">
        <v>19</v>
      </c>
      <c r="Q28" s="32">
        <v>1905</v>
      </c>
      <c r="R28" s="351">
        <v>1905022</v>
      </c>
      <c r="S28" s="39" t="s">
        <v>36</v>
      </c>
      <c r="T28" s="39" t="s">
        <v>388</v>
      </c>
      <c r="U28" s="32">
        <v>190502200</v>
      </c>
      <c r="V28" s="40" t="s">
        <v>37</v>
      </c>
      <c r="W28" s="355" t="s">
        <v>316</v>
      </c>
      <c r="X28" s="666"/>
      <c r="Y28" s="355"/>
      <c r="Z28" s="355"/>
      <c r="AA28" s="355"/>
      <c r="AB28" s="355"/>
      <c r="AC28" s="355"/>
      <c r="AD28" s="355"/>
      <c r="AE28" s="355"/>
      <c r="AF28" s="355"/>
      <c r="AG28" s="355"/>
      <c r="AH28" s="669"/>
      <c r="AI28" s="357" t="s">
        <v>180</v>
      </c>
      <c r="AJ28" s="80">
        <v>1</v>
      </c>
      <c r="AK28" s="80">
        <v>1</v>
      </c>
      <c r="AL28" s="80">
        <v>1</v>
      </c>
      <c r="AM28" s="80">
        <v>1</v>
      </c>
      <c r="AN28" s="80">
        <v>1</v>
      </c>
      <c r="AO28" s="358">
        <v>1</v>
      </c>
      <c r="AP28" s="33">
        <f t="shared" si="1"/>
        <v>2</v>
      </c>
      <c r="AQ28" s="359" t="s">
        <v>316</v>
      </c>
      <c r="AR28" s="25">
        <v>0</v>
      </c>
      <c r="AS28" s="25">
        <v>0</v>
      </c>
      <c r="AT28" s="25">
        <v>1</v>
      </c>
      <c r="AU28" s="25">
        <v>1</v>
      </c>
      <c r="AV28" s="392" t="s">
        <v>779</v>
      </c>
      <c r="AW28" s="392" t="s">
        <v>769</v>
      </c>
      <c r="AX28" s="39" t="s">
        <v>801</v>
      </c>
      <c r="AY28" s="25">
        <v>383</v>
      </c>
      <c r="AZ28" s="39" t="s">
        <v>729</v>
      </c>
      <c r="BA28" s="40" t="s">
        <v>36</v>
      </c>
      <c r="BB28" s="360" t="s">
        <v>730</v>
      </c>
      <c r="BC28" s="361" t="s">
        <v>683</v>
      </c>
      <c r="BD28" s="40" t="s">
        <v>731</v>
      </c>
      <c r="BE28" s="391">
        <v>17638400</v>
      </c>
      <c r="BF28" s="363" t="s">
        <v>771</v>
      </c>
      <c r="BG28" s="364" t="s">
        <v>797</v>
      </c>
      <c r="BH28" s="365" t="s">
        <v>798</v>
      </c>
      <c r="BI28" s="365"/>
      <c r="BJ28" s="26" t="s">
        <v>799</v>
      </c>
      <c r="BK28" s="26" t="s">
        <v>800</v>
      </c>
      <c r="BL28" s="359">
        <v>0</v>
      </c>
      <c r="BM28" s="359">
        <v>0</v>
      </c>
      <c r="BN28" s="359">
        <v>0</v>
      </c>
      <c r="BO28" s="366">
        <f t="shared" si="2"/>
        <v>0</v>
      </c>
      <c r="BP28" s="367">
        <f t="shared" si="3"/>
        <v>0</v>
      </c>
      <c r="BQ28" s="359">
        <v>0</v>
      </c>
      <c r="BR28" s="359">
        <v>0</v>
      </c>
      <c r="BS28" s="359">
        <v>0</v>
      </c>
      <c r="BT28" s="366">
        <f t="shared" si="4"/>
        <v>0</v>
      </c>
      <c r="BU28" s="367">
        <f t="shared" si="5"/>
        <v>0</v>
      </c>
      <c r="BV28" s="359">
        <v>0</v>
      </c>
      <c r="BW28" s="359">
        <v>1</v>
      </c>
      <c r="BX28" s="359">
        <v>0</v>
      </c>
      <c r="BY28" s="366">
        <f t="shared" si="6"/>
        <v>1</v>
      </c>
      <c r="BZ28" s="367">
        <f t="shared" si="7"/>
        <v>0.5</v>
      </c>
      <c r="CA28" s="359">
        <v>0</v>
      </c>
      <c r="CB28" s="359">
        <v>0</v>
      </c>
      <c r="CC28" s="359">
        <v>0</v>
      </c>
      <c r="CD28" s="366">
        <f t="shared" si="8"/>
        <v>0</v>
      </c>
      <c r="CE28" s="367">
        <f t="shared" si="9"/>
        <v>0</v>
      </c>
      <c r="CF28" s="368">
        <f t="shared" si="10"/>
        <v>1</v>
      </c>
      <c r="CG28" s="359">
        <f t="shared" si="11"/>
        <v>0.5</v>
      </c>
      <c r="CH28" s="369"/>
      <c r="CI28" s="369"/>
      <c r="CJ28" s="370">
        <v>0</v>
      </c>
      <c r="CK28" s="370">
        <v>0</v>
      </c>
      <c r="CL28" s="370">
        <v>0</v>
      </c>
      <c r="CM28" s="394">
        <v>17638400</v>
      </c>
      <c r="CN28" s="374">
        <f t="shared" si="12"/>
        <v>0</v>
      </c>
      <c r="CO28" s="370">
        <f t="shared" si="13"/>
        <v>0</v>
      </c>
      <c r="CP28" s="370">
        <v>0</v>
      </c>
      <c r="CQ28" s="370">
        <v>0</v>
      </c>
      <c r="CR28" s="372">
        <v>0</v>
      </c>
      <c r="CS28" s="374">
        <v>0</v>
      </c>
      <c r="CT28" s="375">
        <f t="shared" si="14"/>
        <v>0</v>
      </c>
      <c r="CU28" s="370">
        <f t="shared" si="15"/>
        <v>0</v>
      </c>
      <c r="CV28" s="370">
        <v>0</v>
      </c>
      <c r="CW28" s="370">
        <v>0</v>
      </c>
      <c r="CX28" s="372">
        <v>8819200</v>
      </c>
      <c r="CY28" s="374">
        <v>0</v>
      </c>
      <c r="CZ28" s="375">
        <f t="shared" si="16"/>
        <v>8819200</v>
      </c>
      <c r="DA28" s="370">
        <f t="shared" si="17"/>
        <v>0.5</v>
      </c>
      <c r="DB28" s="370">
        <v>0</v>
      </c>
      <c r="DC28" s="370">
        <v>8819200</v>
      </c>
      <c r="DD28" s="372">
        <v>0</v>
      </c>
      <c r="DE28" s="374">
        <v>0</v>
      </c>
      <c r="DF28" s="375">
        <f t="shared" si="19"/>
        <v>8819200</v>
      </c>
      <c r="DG28" s="370">
        <f t="shared" si="20"/>
        <v>0.5</v>
      </c>
      <c r="DH28" s="376">
        <f t="shared" si="21"/>
        <v>17638400</v>
      </c>
      <c r="DI28" s="376">
        <f t="shared" si="22"/>
        <v>17638400</v>
      </c>
      <c r="DJ28" s="370">
        <f t="shared" si="23"/>
        <v>1</v>
      </c>
      <c r="DK28" s="370"/>
      <c r="DL28" s="377">
        <f t="shared" si="24"/>
        <v>17638400</v>
      </c>
      <c r="DM28" s="370">
        <f t="shared" si="25"/>
        <v>17638400</v>
      </c>
      <c r="DN28" s="370">
        <f t="shared" si="26"/>
        <v>0</v>
      </c>
      <c r="DO28" s="370">
        <f t="shared" si="27"/>
        <v>0</v>
      </c>
      <c r="DP28" s="370">
        <f t="shared" si="28"/>
        <v>0</v>
      </c>
      <c r="DQ28" s="378">
        <f t="shared" si="29"/>
        <v>17638400</v>
      </c>
      <c r="DR28" s="370">
        <f t="shared" si="30"/>
        <v>0</v>
      </c>
      <c r="DS28" s="370">
        <f t="shared" si="31"/>
        <v>0</v>
      </c>
      <c r="DT28" s="370">
        <f t="shared" si="32"/>
        <v>8819200</v>
      </c>
      <c r="DU28" s="370">
        <f t="shared" si="33"/>
        <v>8819200</v>
      </c>
      <c r="DW28" s="370">
        <v>0</v>
      </c>
      <c r="DX28" s="372">
        <v>8819200</v>
      </c>
      <c r="DY28" s="300">
        <v>0</v>
      </c>
      <c r="DZ28" s="381">
        <f t="shared" si="34"/>
        <v>1587456</v>
      </c>
      <c r="EA28" s="571">
        <f t="shared" si="35"/>
        <v>19225856</v>
      </c>
      <c r="EB28" s="608"/>
    </row>
    <row r="29" spans="1:132" ht="125.25" hidden="1" customHeight="1" thickTop="1" thickBot="1">
      <c r="A29" s="133">
        <v>1</v>
      </c>
      <c r="B29" s="411" t="s">
        <v>6</v>
      </c>
      <c r="C29" s="135" t="s">
        <v>304</v>
      </c>
      <c r="D29" s="135" t="s">
        <v>305</v>
      </c>
      <c r="E29" s="412" t="s">
        <v>114</v>
      </c>
      <c r="F29" s="347" t="s">
        <v>306</v>
      </c>
      <c r="G29" s="412" t="s">
        <v>381</v>
      </c>
      <c r="H29" s="347" t="s">
        <v>392</v>
      </c>
      <c r="I29" s="347" t="s">
        <v>795</v>
      </c>
      <c r="J29" s="32">
        <v>35</v>
      </c>
      <c r="K29" s="348" t="s">
        <v>394</v>
      </c>
      <c r="L29" s="40" t="s">
        <v>395</v>
      </c>
      <c r="M29" s="40" t="s">
        <v>788</v>
      </c>
      <c r="N29" s="349" t="s">
        <v>11</v>
      </c>
      <c r="O29" s="350">
        <v>19</v>
      </c>
      <c r="P29" s="39" t="s">
        <v>19</v>
      </c>
      <c r="Q29" s="32">
        <v>1905</v>
      </c>
      <c r="R29" s="351">
        <v>1905022</v>
      </c>
      <c r="S29" s="39" t="s">
        <v>36</v>
      </c>
      <c r="T29" s="39" t="s">
        <v>388</v>
      </c>
      <c r="U29" s="32">
        <v>190502200</v>
      </c>
      <c r="V29" s="40" t="s">
        <v>37</v>
      </c>
      <c r="W29" s="355" t="s">
        <v>316</v>
      </c>
      <c r="X29" s="667"/>
      <c r="Y29" s="355"/>
      <c r="Z29" s="355"/>
      <c r="AA29" s="355"/>
      <c r="AB29" s="355"/>
      <c r="AC29" s="355"/>
      <c r="AD29" s="355"/>
      <c r="AE29" s="355"/>
      <c r="AF29" s="355"/>
      <c r="AG29" s="355"/>
      <c r="AH29" s="670"/>
      <c r="AI29" s="357" t="s">
        <v>181</v>
      </c>
      <c r="AJ29" s="80">
        <v>1</v>
      </c>
      <c r="AK29" s="80">
        <v>1</v>
      </c>
      <c r="AL29" s="80">
        <v>1</v>
      </c>
      <c r="AM29" s="80">
        <v>1</v>
      </c>
      <c r="AN29" s="80">
        <v>1</v>
      </c>
      <c r="AO29" s="358">
        <v>1</v>
      </c>
      <c r="AP29" s="33">
        <f t="shared" si="1"/>
        <v>1</v>
      </c>
      <c r="AQ29" s="359" t="s">
        <v>316</v>
      </c>
      <c r="AR29" s="25">
        <v>0</v>
      </c>
      <c r="AS29" s="25">
        <v>0</v>
      </c>
      <c r="AT29" s="25">
        <v>1</v>
      </c>
      <c r="AU29" s="25">
        <v>0</v>
      </c>
      <c r="AV29" s="392" t="s">
        <v>779</v>
      </c>
      <c r="AW29" s="392" t="s">
        <v>769</v>
      </c>
      <c r="AX29" s="39" t="s">
        <v>801</v>
      </c>
      <c r="AY29" s="25">
        <v>383</v>
      </c>
      <c r="AZ29" s="39" t="s">
        <v>729</v>
      </c>
      <c r="BA29" s="40" t="s">
        <v>36</v>
      </c>
      <c r="BB29" s="360" t="s">
        <v>730</v>
      </c>
      <c r="BC29" s="361" t="s">
        <v>683</v>
      </c>
      <c r="BD29" s="40" t="s">
        <v>731</v>
      </c>
      <c r="BE29" s="391">
        <v>21200000</v>
      </c>
      <c r="BF29" s="363" t="s">
        <v>771</v>
      </c>
      <c r="BG29" s="364" t="s">
        <v>797</v>
      </c>
      <c r="BH29" s="365" t="s">
        <v>798</v>
      </c>
      <c r="BI29" s="365"/>
      <c r="BJ29" s="26" t="s">
        <v>799</v>
      </c>
      <c r="BK29" s="26" t="s">
        <v>800</v>
      </c>
      <c r="BL29" s="359">
        <v>0</v>
      </c>
      <c r="BM29" s="359">
        <v>0</v>
      </c>
      <c r="BN29" s="359">
        <v>0</v>
      </c>
      <c r="BO29" s="366">
        <f t="shared" si="2"/>
        <v>0</v>
      </c>
      <c r="BP29" s="367">
        <f t="shared" si="3"/>
        <v>0</v>
      </c>
      <c r="BQ29" s="359">
        <v>0</v>
      </c>
      <c r="BR29" s="359">
        <v>0</v>
      </c>
      <c r="BS29" s="359">
        <v>0</v>
      </c>
      <c r="BT29" s="366">
        <f t="shared" si="4"/>
        <v>0</v>
      </c>
      <c r="BU29" s="367">
        <f t="shared" si="5"/>
        <v>0</v>
      </c>
      <c r="BV29" s="415">
        <v>0.33300000000000002</v>
      </c>
      <c r="BW29" s="415">
        <v>0.33300000000000002</v>
      </c>
      <c r="BX29" s="416">
        <v>0.33400000000000002</v>
      </c>
      <c r="BY29" s="366">
        <f t="shared" si="6"/>
        <v>1</v>
      </c>
      <c r="BZ29" s="367">
        <f t="shared" si="7"/>
        <v>1</v>
      </c>
      <c r="CA29" s="359">
        <v>0</v>
      </c>
      <c r="CB29" s="359">
        <v>0</v>
      </c>
      <c r="CC29" s="359">
        <v>0</v>
      </c>
      <c r="CD29" s="366">
        <f t="shared" si="8"/>
        <v>0</v>
      </c>
      <c r="CE29" s="367" t="e">
        <f t="shared" si="9"/>
        <v>#DIV/0!</v>
      </c>
      <c r="CF29" s="368">
        <f t="shared" si="10"/>
        <v>1</v>
      </c>
      <c r="CG29" s="359">
        <f t="shared" si="11"/>
        <v>1</v>
      </c>
      <c r="CH29" s="369"/>
      <c r="CI29" s="369"/>
      <c r="CJ29" s="370">
        <v>0</v>
      </c>
      <c r="CK29" s="370">
        <v>0</v>
      </c>
      <c r="CL29" s="370">
        <v>0</v>
      </c>
      <c r="CM29" s="394">
        <v>21200000</v>
      </c>
      <c r="CN29" s="374">
        <f t="shared" si="12"/>
        <v>0</v>
      </c>
      <c r="CO29" s="370">
        <f t="shared" si="13"/>
        <v>0</v>
      </c>
      <c r="CP29" s="370">
        <v>0</v>
      </c>
      <c r="CQ29" s="370">
        <v>0</v>
      </c>
      <c r="CR29" s="372">
        <v>0</v>
      </c>
      <c r="CS29" s="374">
        <v>0</v>
      </c>
      <c r="CT29" s="375">
        <f t="shared" si="14"/>
        <v>0</v>
      </c>
      <c r="CU29" s="370">
        <f t="shared" si="15"/>
        <v>0</v>
      </c>
      <c r="CV29" s="370">
        <v>0</v>
      </c>
      <c r="CW29" s="370">
        <v>7066666.666666667</v>
      </c>
      <c r="CX29" s="372">
        <v>7066666.666666667</v>
      </c>
      <c r="CY29" s="374">
        <v>0</v>
      </c>
      <c r="CZ29" s="375">
        <f t="shared" si="16"/>
        <v>14133333.333333334</v>
      </c>
      <c r="DA29" s="370">
        <f t="shared" si="17"/>
        <v>0.66666666666666674</v>
      </c>
      <c r="DB29" s="370">
        <v>7066666.666666667</v>
      </c>
      <c r="DC29" s="370">
        <v>0</v>
      </c>
      <c r="DD29" s="372">
        <v>0</v>
      </c>
      <c r="DE29" s="374">
        <v>0</v>
      </c>
      <c r="DF29" s="375">
        <f t="shared" si="19"/>
        <v>7066666.666666667</v>
      </c>
      <c r="DG29" s="370">
        <f t="shared" si="20"/>
        <v>0.33333333333333337</v>
      </c>
      <c r="DH29" s="376">
        <f t="shared" si="21"/>
        <v>21200000</v>
      </c>
      <c r="DI29" s="376">
        <f t="shared" si="22"/>
        <v>21200000</v>
      </c>
      <c r="DJ29" s="370">
        <f t="shared" si="23"/>
        <v>1</v>
      </c>
      <c r="DK29" s="370"/>
      <c r="DL29" s="377">
        <f t="shared" si="24"/>
        <v>21200000</v>
      </c>
      <c r="DM29" s="370">
        <f t="shared" si="25"/>
        <v>21200000</v>
      </c>
      <c r="DN29" s="370">
        <f t="shared" si="26"/>
        <v>0</v>
      </c>
      <c r="DO29" s="370">
        <f t="shared" si="27"/>
        <v>0</v>
      </c>
      <c r="DP29" s="370">
        <f t="shared" si="28"/>
        <v>0</v>
      </c>
      <c r="DQ29" s="378">
        <f t="shared" si="29"/>
        <v>21200000</v>
      </c>
      <c r="DR29" s="370">
        <f t="shared" si="30"/>
        <v>0</v>
      </c>
      <c r="DS29" s="370">
        <f t="shared" si="31"/>
        <v>0</v>
      </c>
      <c r="DT29" s="370">
        <f t="shared" si="32"/>
        <v>14133333.333333334</v>
      </c>
      <c r="DU29" s="370">
        <f t="shared" si="33"/>
        <v>7066666.666666667</v>
      </c>
      <c r="DW29" s="370">
        <v>7066666.666666667</v>
      </c>
      <c r="DX29" s="372">
        <v>7066666.666666667</v>
      </c>
      <c r="DY29" s="300">
        <v>7066666.666666667</v>
      </c>
      <c r="DZ29" s="381">
        <f t="shared" si="34"/>
        <v>1908000</v>
      </c>
      <c r="EA29" s="571">
        <f t="shared" si="35"/>
        <v>23108000</v>
      </c>
      <c r="EB29" s="608"/>
    </row>
    <row r="30" spans="1:132" ht="151.5" hidden="1" customHeight="1" thickTop="1" thickBot="1">
      <c r="A30" s="133">
        <v>1</v>
      </c>
      <c r="B30" s="411" t="s">
        <v>6</v>
      </c>
      <c r="C30" s="135" t="s">
        <v>304</v>
      </c>
      <c r="D30" s="135" t="s">
        <v>305</v>
      </c>
      <c r="E30" s="412" t="s">
        <v>114</v>
      </c>
      <c r="F30" s="347" t="s">
        <v>306</v>
      </c>
      <c r="G30" s="412" t="s">
        <v>381</v>
      </c>
      <c r="H30" s="347" t="s">
        <v>392</v>
      </c>
      <c r="I30" s="347" t="s">
        <v>795</v>
      </c>
      <c r="J30" s="32">
        <v>36</v>
      </c>
      <c r="K30" s="348" t="s">
        <v>399</v>
      </c>
      <c r="L30" s="40" t="s">
        <v>400</v>
      </c>
      <c r="M30" s="40" t="s">
        <v>788</v>
      </c>
      <c r="N30" s="349" t="s">
        <v>11</v>
      </c>
      <c r="O30" s="350">
        <v>19</v>
      </c>
      <c r="P30" s="39" t="s">
        <v>19</v>
      </c>
      <c r="Q30" s="32">
        <v>1905</v>
      </c>
      <c r="R30" s="351">
        <v>1905022</v>
      </c>
      <c r="S30" s="352" t="s">
        <v>36</v>
      </c>
      <c r="T30" s="383" t="s">
        <v>388</v>
      </c>
      <c r="U30" s="351">
        <v>190502200</v>
      </c>
      <c r="V30" s="383" t="s">
        <v>37</v>
      </c>
      <c r="W30" s="417" t="s">
        <v>316</v>
      </c>
      <c r="X30" s="418">
        <f>BE30</f>
        <v>9342840</v>
      </c>
      <c r="Y30" s="417"/>
      <c r="Z30" s="417"/>
      <c r="AA30" s="417"/>
      <c r="AB30" s="417"/>
      <c r="AC30" s="417"/>
      <c r="AD30" s="417"/>
      <c r="AE30" s="417"/>
      <c r="AF30" s="417"/>
      <c r="AG30" s="417"/>
      <c r="AH30" s="356">
        <f t="shared" si="0"/>
        <v>9342840</v>
      </c>
      <c r="AI30" s="397" t="s">
        <v>182</v>
      </c>
      <c r="AJ30" s="80">
        <v>1</v>
      </c>
      <c r="AK30" s="80">
        <v>1</v>
      </c>
      <c r="AL30" s="80">
        <v>1</v>
      </c>
      <c r="AM30" s="80">
        <v>1</v>
      </c>
      <c r="AN30" s="80">
        <v>1</v>
      </c>
      <c r="AO30" s="358">
        <v>1</v>
      </c>
      <c r="AP30" s="33">
        <v>100</v>
      </c>
      <c r="AQ30" s="359" t="s">
        <v>707</v>
      </c>
      <c r="AR30" s="25">
        <v>0</v>
      </c>
      <c r="AS30" s="25">
        <v>33</v>
      </c>
      <c r="AT30" s="25">
        <v>34</v>
      </c>
      <c r="AU30" s="25">
        <v>33</v>
      </c>
      <c r="AV30" s="39" t="s">
        <v>776</v>
      </c>
      <c r="AW30" s="39" t="s">
        <v>802</v>
      </c>
      <c r="AX30" s="39" t="s">
        <v>801</v>
      </c>
      <c r="AY30" s="25">
        <v>383</v>
      </c>
      <c r="AZ30" s="39" t="s">
        <v>729</v>
      </c>
      <c r="BA30" s="40" t="s">
        <v>36</v>
      </c>
      <c r="BB30" s="360" t="s">
        <v>730</v>
      </c>
      <c r="BC30" s="361" t="s">
        <v>683</v>
      </c>
      <c r="BD30" s="40" t="s">
        <v>731</v>
      </c>
      <c r="BE30" s="391">
        <v>9342840</v>
      </c>
      <c r="BF30" s="363" t="s">
        <v>771</v>
      </c>
      <c r="BG30" s="364" t="s">
        <v>797</v>
      </c>
      <c r="BH30" s="365" t="s">
        <v>798</v>
      </c>
      <c r="BI30" s="365"/>
      <c r="BJ30" s="26" t="s">
        <v>799</v>
      </c>
      <c r="BK30" s="26" t="s">
        <v>800</v>
      </c>
      <c r="BL30" s="359">
        <v>0</v>
      </c>
      <c r="BM30" s="359">
        <v>0</v>
      </c>
      <c r="BN30" s="359">
        <v>0</v>
      </c>
      <c r="BO30" s="366">
        <f t="shared" si="2"/>
        <v>0</v>
      </c>
      <c r="BP30" s="367">
        <f t="shared" si="3"/>
        <v>0</v>
      </c>
      <c r="BQ30" s="359">
        <v>0</v>
      </c>
      <c r="BR30" s="413">
        <v>20</v>
      </c>
      <c r="BS30" s="413">
        <v>20</v>
      </c>
      <c r="BT30" s="366">
        <f t="shared" si="4"/>
        <v>40</v>
      </c>
      <c r="BU30" s="367">
        <f t="shared" si="5"/>
        <v>0.4</v>
      </c>
      <c r="BV30" s="414">
        <v>20</v>
      </c>
      <c r="BW30" s="414">
        <v>20</v>
      </c>
      <c r="BX30" s="414">
        <v>20</v>
      </c>
      <c r="BY30" s="366">
        <f t="shared" si="6"/>
        <v>60</v>
      </c>
      <c r="BZ30" s="367">
        <f t="shared" si="7"/>
        <v>0.6</v>
      </c>
      <c r="CA30" s="359">
        <v>0</v>
      </c>
      <c r="CB30" s="359">
        <v>0</v>
      </c>
      <c r="CC30" s="359">
        <v>0</v>
      </c>
      <c r="CD30" s="366">
        <f t="shared" si="8"/>
        <v>0</v>
      </c>
      <c r="CE30" s="367">
        <f t="shared" si="9"/>
        <v>0</v>
      </c>
      <c r="CF30" s="368">
        <f t="shared" si="10"/>
        <v>100</v>
      </c>
      <c r="CG30" s="359">
        <f t="shared" si="11"/>
        <v>1</v>
      </c>
      <c r="CH30" s="369"/>
      <c r="CI30" s="369"/>
      <c r="CJ30" s="370">
        <v>0</v>
      </c>
      <c r="CK30" s="370">
        <v>0</v>
      </c>
      <c r="CL30" s="370">
        <v>0</v>
      </c>
      <c r="CM30" s="394">
        <v>9342840</v>
      </c>
      <c r="CN30" s="374">
        <f t="shared" si="12"/>
        <v>0</v>
      </c>
      <c r="CO30" s="370">
        <f t="shared" si="13"/>
        <v>0</v>
      </c>
      <c r="CP30" s="370">
        <v>0</v>
      </c>
      <c r="CQ30" s="370">
        <v>0</v>
      </c>
      <c r="CR30" s="372">
        <v>1868568</v>
      </c>
      <c r="CS30" s="374">
        <v>0</v>
      </c>
      <c r="CT30" s="375">
        <f t="shared" si="14"/>
        <v>1868568</v>
      </c>
      <c r="CU30" s="370">
        <f t="shared" si="15"/>
        <v>0.2</v>
      </c>
      <c r="CV30" s="370">
        <v>1868568</v>
      </c>
      <c r="CW30" s="370">
        <v>1868568</v>
      </c>
      <c r="CX30" s="372">
        <v>1868568</v>
      </c>
      <c r="CY30" s="374">
        <v>0</v>
      </c>
      <c r="CZ30" s="375">
        <f t="shared" si="16"/>
        <v>5605704</v>
      </c>
      <c r="DA30" s="370">
        <f t="shared" si="17"/>
        <v>0.6</v>
      </c>
      <c r="DB30" s="370">
        <v>1868568</v>
      </c>
      <c r="DC30" s="370">
        <v>0</v>
      </c>
      <c r="DD30" s="372">
        <v>0</v>
      </c>
      <c r="DE30" s="374">
        <v>0</v>
      </c>
      <c r="DF30" s="375">
        <f t="shared" si="19"/>
        <v>1868568</v>
      </c>
      <c r="DG30" s="370">
        <f t="shared" si="20"/>
        <v>0.2</v>
      </c>
      <c r="DH30" s="376">
        <f t="shared" si="21"/>
        <v>9342840</v>
      </c>
      <c r="DI30" s="376">
        <f t="shared" si="22"/>
        <v>9342840</v>
      </c>
      <c r="DJ30" s="370">
        <f t="shared" si="23"/>
        <v>1</v>
      </c>
      <c r="DK30" s="370"/>
      <c r="DL30" s="377">
        <f t="shared" si="24"/>
        <v>9342840</v>
      </c>
      <c r="DM30" s="370">
        <f t="shared" si="25"/>
        <v>9342840</v>
      </c>
      <c r="DN30" s="370">
        <f t="shared" si="26"/>
        <v>0</v>
      </c>
      <c r="DO30" s="370">
        <f t="shared" si="27"/>
        <v>0</v>
      </c>
      <c r="DP30" s="370">
        <f t="shared" si="28"/>
        <v>0</v>
      </c>
      <c r="DQ30" s="378">
        <f t="shared" si="29"/>
        <v>9342840</v>
      </c>
      <c r="DR30" s="370">
        <f t="shared" si="30"/>
        <v>0</v>
      </c>
      <c r="DS30" s="370">
        <f t="shared" si="31"/>
        <v>1868568</v>
      </c>
      <c r="DT30" s="370">
        <f t="shared" si="32"/>
        <v>5605704</v>
      </c>
      <c r="DU30" s="370">
        <f t="shared" si="33"/>
        <v>1868568</v>
      </c>
      <c r="DW30" s="370">
        <v>1868568</v>
      </c>
      <c r="DX30" s="372">
        <v>1868568</v>
      </c>
      <c r="DY30" s="300">
        <v>1868568</v>
      </c>
      <c r="DZ30" s="381">
        <f t="shared" si="34"/>
        <v>840855.6</v>
      </c>
      <c r="EA30" s="571">
        <f t="shared" si="35"/>
        <v>10183695.6</v>
      </c>
      <c r="EB30" s="608"/>
    </row>
    <row r="31" spans="1:132" ht="181.5" hidden="1" customHeight="1" thickTop="1" thickBot="1">
      <c r="A31" s="133">
        <v>1</v>
      </c>
      <c r="B31" s="411" t="s">
        <v>6</v>
      </c>
      <c r="C31" s="135" t="s">
        <v>304</v>
      </c>
      <c r="D31" s="135" t="s">
        <v>305</v>
      </c>
      <c r="E31" s="412" t="s">
        <v>114</v>
      </c>
      <c r="F31" s="347" t="s">
        <v>306</v>
      </c>
      <c r="G31" s="412" t="s">
        <v>402</v>
      </c>
      <c r="H31" s="32" t="s">
        <v>405</v>
      </c>
      <c r="I31" s="32" t="s">
        <v>803</v>
      </c>
      <c r="J31" s="32">
        <v>37</v>
      </c>
      <c r="K31" s="348" t="s">
        <v>804</v>
      </c>
      <c r="L31" s="40" t="s">
        <v>805</v>
      </c>
      <c r="M31" s="40" t="s">
        <v>806</v>
      </c>
      <c r="N31" s="349" t="s">
        <v>11</v>
      </c>
      <c r="O31" s="350">
        <v>19</v>
      </c>
      <c r="P31" s="39" t="s">
        <v>19</v>
      </c>
      <c r="Q31" s="32">
        <v>1905</v>
      </c>
      <c r="R31" s="351">
        <v>1905028</v>
      </c>
      <c r="S31" s="352" t="s">
        <v>39</v>
      </c>
      <c r="T31" s="383" t="s">
        <v>409</v>
      </c>
      <c r="U31" s="351">
        <v>190502801</v>
      </c>
      <c r="V31" s="354" t="s">
        <v>40</v>
      </c>
      <c r="W31" s="355" t="s">
        <v>316</v>
      </c>
      <c r="X31" s="385">
        <f>BE31</f>
        <v>2521451.6800000002</v>
      </c>
      <c r="Y31" s="355"/>
      <c r="Z31" s="355"/>
      <c r="AA31" s="355"/>
      <c r="AB31" s="355"/>
      <c r="AC31" s="355"/>
      <c r="AD31" s="355"/>
      <c r="AE31" s="355"/>
      <c r="AF31" s="355"/>
      <c r="AG31" s="355"/>
      <c r="AH31" s="356">
        <f t="shared" si="0"/>
        <v>2521451.6800000002</v>
      </c>
      <c r="AI31" s="357" t="s">
        <v>185</v>
      </c>
      <c r="AJ31" s="80">
        <v>1500</v>
      </c>
      <c r="AK31" s="80">
        <v>1100</v>
      </c>
      <c r="AL31" s="80">
        <v>800</v>
      </c>
      <c r="AM31" s="80">
        <v>900</v>
      </c>
      <c r="AN31" s="80">
        <v>1000</v>
      </c>
      <c r="AO31" s="386">
        <v>1000</v>
      </c>
      <c r="AP31" s="33">
        <f t="shared" si="1"/>
        <v>1100</v>
      </c>
      <c r="AQ31" s="359" t="s">
        <v>316</v>
      </c>
      <c r="AR31" s="25">
        <v>0</v>
      </c>
      <c r="AS31" s="25">
        <v>200</v>
      </c>
      <c r="AT31" s="25">
        <v>550</v>
      </c>
      <c r="AU31" s="25">
        <v>350</v>
      </c>
      <c r="AV31" s="392" t="s">
        <v>739</v>
      </c>
      <c r="AW31" s="392" t="s">
        <v>740</v>
      </c>
      <c r="AX31" s="39" t="s">
        <v>807</v>
      </c>
      <c r="AY31" s="25">
        <v>392</v>
      </c>
      <c r="AZ31" s="39" t="s">
        <v>729</v>
      </c>
      <c r="BA31" s="40" t="s">
        <v>39</v>
      </c>
      <c r="BB31" s="360" t="s">
        <v>730</v>
      </c>
      <c r="BC31" s="361" t="s">
        <v>683</v>
      </c>
      <c r="BD31" s="40" t="s">
        <v>731</v>
      </c>
      <c r="BE31" s="391">
        <v>2521451.6800000002</v>
      </c>
      <c r="BF31" s="363" t="s">
        <v>771</v>
      </c>
      <c r="BG31" s="364" t="s">
        <v>808</v>
      </c>
      <c r="BH31" s="365" t="s">
        <v>809</v>
      </c>
      <c r="BI31" s="365"/>
      <c r="BJ31" s="26" t="s">
        <v>810</v>
      </c>
      <c r="BK31" s="26" t="s">
        <v>811</v>
      </c>
      <c r="BL31" s="359">
        <v>0</v>
      </c>
      <c r="BM31" s="359">
        <v>0</v>
      </c>
      <c r="BN31" s="359">
        <v>0</v>
      </c>
      <c r="BO31" s="366">
        <f t="shared" si="2"/>
        <v>0</v>
      </c>
      <c r="BP31" s="367">
        <f t="shared" si="3"/>
        <v>0</v>
      </c>
      <c r="BQ31" s="359">
        <v>0</v>
      </c>
      <c r="BR31" s="359">
        <v>211</v>
      </c>
      <c r="BS31" s="359">
        <v>453</v>
      </c>
      <c r="BT31" s="366">
        <f t="shared" si="4"/>
        <v>664</v>
      </c>
      <c r="BU31" s="367">
        <f t="shared" si="5"/>
        <v>0.60363636363636364</v>
      </c>
      <c r="BV31" s="359">
        <v>455</v>
      </c>
      <c r="BW31" s="359">
        <v>0</v>
      </c>
      <c r="BX31" s="359">
        <v>0</v>
      </c>
      <c r="BY31" s="366">
        <f t="shared" si="6"/>
        <v>455</v>
      </c>
      <c r="BZ31" s="367">
        <f t="shared" si="7"/>
        <v>0.41363636363636364</v>
      </c>
      <c r="CA31" s="359">
        <v>0</v>
      </c>
      <c r="CB31" s="359">
        <v>0</v>
      </c>
      <c r="CC31" s="359">
        <v>0</v>
      </c>
      <c r="CD31" s="366">
        <f t="shared" si="8"/>
        <v>0</v>
      </c>
      <c r="CE31" s="367">
        <f t="shared" si="9"/>
        <v>0</v>
      </c>
      <c r="CF31" s="368">
        <f t="shared" si="10"/>
        <v>1119</v>
      </c>
      <c r="CG31" s="359">
        <f t="shared" si="11"/>
        <v>1.0172727272727273</v>
      </c>
      <c r="CH31" s="369"/>
      <c r="CI31" s="369"/>
      <c r="CJ31" s="370">
        <v>0</v>
      </c>
      <c r="CK31" s="370">
        <v>0</v>
      </c>
      <c r="CL31" s="370">
        <v>0</v>
      </c>
      <c r="CM31" s="394">
        <v>2521451.6800000002</v>
      </c>
      <c r="CN31" s="374">
        <f t="shared" si="12"/>
        <v>0</v>
      </c>
      <c r="CO31" s="370">
        <f t="shared" si="13"/>
        <v>0</v>
      </c>
      <c r="CP31" s="370">
        <v>0</v>
      </c>
      <c r="CQ31" s="370">
        <v>0</v>
      </c>
      <c r="CR31" s="372">
        <v>483660.27680000005</v>
      </c>
      <c r="CS31" s="374">
        <v>0</v>
      </c>
      <c r="CT31" s="375">
        <f t="shared" si="14"/>
        <v>483660.27680000005</v>
      </c>
      <c r="CU31" s="370">
        <f t="shared" si="15"/>
        <v>0.19181818181818183</v>
      </c>
      <c r="CV31" s="370">
        <v>1038379.6464000002</v>
      </c>
      <c r="CW31" s="370">
        <v>999411.76</v>
      </c>
      <c r="CX31" s="372">
        <v>0</v>
      </c>
      <c r="CY31" s="374">
        <v>0</v>
      </c>
      <c r="CZ31" s="375">
        <f t="shared" si="16"/>
        <v>2037791.4064000002</v>
      </c>
      <c r="DA31" s="370">
        <f t="shared" si="17"/>
        <v>0.80818181945092837</v>
      </c>
      <c r="DB31" s="370">
        <v>0</v>
      </c>
      <c r="DC31" s="370">
        <v>0</v>
      </c>
      <c r="DD31" s="372">
        <v>0</v>
      </c>
      <c r="DE31" s="374">
        <v>0</v>
      </c>
      <c r="DF31" s="375">
        <f t="shared" si="19"/>
        <v>0</v>
      </c>
      <c r="DG31" s="370">
        <f t="shared" si="20"/>
        <v>0</v>
      </c>
      <c r="DH31" s="376">
        <f t="shared" si="21"/>
        <v>2521451.6800000002</v>
      </c>
      <c r="DI31" s="376">
        <f t="shared" si="22"/>
        <v>2521451.6832000003</v>
      </c>
      <c r="DJ31" s="370">
        <f t="shared" si="23"/>
        <v>1</v>
      </c>
      <c r="DK31" s="370"/>
      <c r="DL31" s="377">
        <f t="shared" si="24"/>
        <v>2521451.6800000002</v>
      </c>
      <c r="DM31" s="370">
        <f t="shared" si="25"/>
        <v>2521451.6800000002</v>
      </c>
      <c r="DN31" s="370">
        <f t="shared" si="26"/>
        <v>0</v>
      </c>
      <c r="DO31" s="370">
        <f t="shared" si="27"/>
        <v>0</v>
      </c>
      <c r="DP31" s="370">
        <f t="shared" si="28"/>
        <v>0</v>
      </c>
      <c r="DQ31" s="378">
        <f t="shared" si="29"/>
        <v>2521451.6832000003</v>
      </c>
      <c r="DR31" s="370">
        <f t="shared" si="30"/>
        <v>0</v>
      </c>
      <c r="DS31" s="370">
        <f t="shared" si="31"/>
        <v>483660.27680000005</v>
      </c>
      <c r="DT31" s="370">
        <f t="shared" si="32"/>
        <v>2037791.4064000002</v>
      </c>
      <c r="DU31" s="370">
        <f t="shared" si="33"/>
        <v>0</v>
      </c>
      <c r="DW31" s="370">
        <v>999411.75</v>
      </c>
      <c r="DX31" s="372">
        <v>0</v>
      </c>
      <c r="DY31" s="300">
        <v>0</v>
      </c>
      <c r="DZ31" s="381">
        <f t="shared" si="34"/>
        <v>226930.65119999999</v>
      </c>
      <c r="EA31" s="382">
        <f t="shared" si="35"/>
        <v>2748382.3312000004</v>
      </c>
      <c r="EB31" s="608"/>
    </row>
    <row r="32" spans="1:132" ht="181.5" hidden="1" customHeight="1" thickTop="1" thickBot="1">
      <c r="A32" s="133">
        <v>1</v>
      </c>
      <c r="B32" s="411" t="s">
        <v>6</v>
      </c>
      <c r="C32" s="135" t="s">
        <v>304</v>
      </c>
      <c r="D32" s="135" t="s">
        <v>305</v>
      </c>
      <c r="E32" s="412" t="s">
        <v>114</v>
      </c>
      <c r="F32" s="347" t="s">
        <v>306</v>
      </c>
      <c r="G32" s="412" t="s">
        <v>402</v>
      </c>
      <c r="H32" s="32" t="s">
        <v>413</v>
      </c>
      <c r="I32" s="32" t="s">
        <v>812</v>
      </c>
      <c r="J32" s="32">
        <v>38</v>
      </c>
      <c r="K32" s="348" t="s">
        <v>813</v>
      </c>
      <c r="L32" s="40" t="s">
        <v>416</v>
      </c>
      <c r="M32" s="40" t="s">
        <v>806</v>
      </c>
      <c r="N32" s="349" t="s">
        <v>11</v>
      </c>
      <c r="O32" s="350">
        <v>19</v>
      </c>
      <c r="P32" s="39" t="s">
        <v>19</v>
      </c>
      <c r="Q32" s="32">
        <v>1905</v>
      </c>
      <c r="R32" s="351">
        <v>1905028</v>
      </c>
      <c r="S32" s="352" t="s">
        <v>39</v>
      </c>
      <c r="T32" s="383" t="s">
        <v>409</v>
      </c>
      <c r="U32" s="351">
        <v>190502800</v>
      </c>
      <c r="V32" s="354" t="s">
        <v>42</v>
      </c>
      <c r="W32" s="355" t="s">
        <v>316</v>
      </c>
      <c r="X32" s="385">
        <f>BE32</f>
        <v>6489828.7999999998</v>
      </c>
      <c r="Y32" s="355"/>
      <c r="Z32" s="355"/>
      <c r="AA32" s="355"/>
      <c r="AB32" s="355"/>
      <c r="AC32" s="355"/>
      <c r="AD32" s="355"/>
      <c r="AE32" s="355"/>
      <c r="AF32" s="355"/>
      <c r="AG32" s="355"/>
      <c r="AH32" s="356">
        <f t="shared" si="0"/>
        <v>6489828.7999999998</v>
      </c>
      <c r="AI32" s="397" t="s">
        <v>186</v>
      </c>
      <c r="AJ32" s="80">
        <v>1</v>
      </c>
      <c r="AK32" s="80">
        <v>1</v>
      </c>
      <c r="AL32" s="80">
        <v>1</v>
      </c>
      <c r="AM32" s="80">
        <v>1</v>
      </c>
      <c r="AN32" s="80">
        <v>1</v>
      </c>
      <c r="AO32" s="358">
        <v>1</v>
      </c>
      <c r="AP32" s="33">
        <f t="shared" si="1"/>
        <v>5</v>
      </c>
      <c r="AQ32" s="359" t="s">
        <v>316</v>
      </c>
      <c r="AR32" s="25">
        <v>0</v>
      </c>
      <c r="AS32" s="25">
        <v>1</v>
      </c>
      <c r="AT32" s="25">
        <v>3</v>
      </c>
      <c r="AU32" s="25">
        <v>1</v>
      </c>
      <c r="AV32" s="392" t="s">
        <v>779</v>
      </c>
      <c r="AW32" s="392" t="s">
        <v>769</v>
      </c>
      <c r="AX32" s="39" t="s">
        <v>814</v>
      </c>
      <c r="AY32" s="25">
        <v>393</v>
      </c>
      <c r="AZ32" s="39" t="s">
        <v>729</v>
      </c>
      <c r="BA32" s="40" t="s">
        <v>39</v>
      </c>
      <c r="BB32" s="360" t="s">
        <v>730</v>
      </c>
      <c r="BC32" s="361" t="s">
        <v>683</v>
      </c>
      <c r="BD32" s="40" t="s">
        <v>731</v>
      </c>
      <c r="BE32" s="391">
        <v>6489828.7999999998</v>
      </c>
      <c r="BF32" s="363" t="s">
        <v>771</v>
      </c>
      <c r="BG32" s="364" t="s">
        <v>815</v>
      </c>
      <c r="BH32" s="365" t="s">
        <v>816</v>
      </c>
      <c r="BI32" s="365"/>
      <c r="BJ32" s="26" t="s">
        <v>817</v>
      </c>
      <c r="BK32" s="26" t="s">
        <v>818</v>
      </c>
      <c r="BL32" s="359">
        <v>0</v>
      </c>
      <c r="BM32" s="359">
        <v>0</v>
      </c>
      <c r="BN32" s="359">
        <v>0</v>
      </c>
      <c r="BO32" s="366">
        <f t="shared" si="2"/>
        <v>0</v>
      </c>
      <c r="BP32" s="367">
        <f t="shared" si="3"/>
        <v>0</v>
      </c>
      <c r="BQ32" s="359">
        <v>0</v>
      </c>
      <c r="BR32" s="359">
        <v>1</v>
      </c>
      <c r="BS32" s="359">
        <v>1</v>
      </c>
      <c r="BT32" s="366">
        <f t="shared" si="4"/>
        <v>2</v>
      </c>
      <c r="BU32" s="367">
        <f t="shared" si="5"/>
        <v>0.4</v>
      </c>
      <c r="BV32" s="359">
        <v>1</v>
      </c>
      <c r="BW32" s="359">
        <v>0</v>
      </c>
      <c r="BX32" s="359">
        <v>2</v>
      </c>
      <c r="BY32" s="366">
        <f t="shared" si="6"/>
        <v>3</v>
      </c>
      <c r="BZ32" s="367">
        <f t="shared" si="7"/>
        <v>0.6</v>
      </c>
      <c r="CA32" s="359">
        <v>0</v>
      </c>
      <c r="CB32" s="359">
        <v>0</v>
      </c>
      <c r="CC32" s="359">
        <v>0</v>
      </c>
      <c r="CD32" s="366">
        <f t="shared" si="8"/>
        <v>0</v>
      </c>
      <c r="CE32" s="367">
        <f t="shared" si="9"/>
        <v>0</v>
      </c>
      <c r="CF32" s="368">
        <f t="shared" si="10"/>
        <v>5</v>
      </c>
      <c r="CG32" s="359">
        <f t="shared" si="11"/>
        <v>1</v>
      </c>
      <c r="CH32" s="369"/>
      <c r="CI32" s="369"/>
      <c r="CJ32" s="370">
        <v>0</v>
      </c>
      <c r="CK32" s="370">
        <v>0</v>
      </c>
      <c r="CL32" s="370">
        <v>0</v>
      </c>
      <c r="CM32" s="394">
        <v>6489828.7999999998</v>
      </c>
      <c r="CN32" s="374">
        <f t="shared" si="12"/>
        <v>0</v>
      </c>
      <c r="CO32" s="370">
        <f t="shared" si="13"/>
        <v>0</v>
      </c>
      <c r="CP32" s="370">
        <v>0</v>
      </c>
      <c r="CQ32" s="370">
        <v>0</v>
      </c>
      <c r="CR32" s="372">
        <v>1297965.76</v>
      </c>
      <c r="CS32" s="374">
        <v>0</v>
      </c>
      <c r="CT32" s="375">
        <f t="shared" si="14"/>
        <v>1297965.76</v>
      </c>
      <c r="CU32" s="370">
        <f t="shared" si="15"/>
        <v>0.2</v>
      </c>
      <c r="CV32" s="370">
        <v>1297965.76</v>
      </c>
      <c r="CW32" s="370">
        <v>1341518.1100000001</v>
      </c>
      <c r="CX32" s="372">
        <v>0</v>
      </c>
      <c r="CY32" s="374">
        <v>0</v>
      </c>
      <c r="CZ32" s="375">
        <f t="shared" si="16"/>
        <v>2639483.87</v>
      </c>
      <c r="DA32" s="370">
        <f t="shared" si="17"/>
        <v>0.40671086269640888</v>
      </c>
      <c r="DB32" s="370">
        <v>2552379.17</v>
      </c>
      <c r="DC32" s="370">
        <v>0</v>
      </c>
      <c r="DD32" s="372">
        <v>0</v>
      </c>
      <c r="DE32" s="374">
        <v>0</v>
      </c>
      <c r="DF32" s="375">
        <f t="shared" si="19"/>
        <v>2552379.17</v>
      </c>
      <c r="DG32" s="370">
        <f t="shared" si="20"/>
        <v>0.39328913730359111</v>
      </c>
      <c r="DH32" s="376">
        <f t="shared" si="21"/>
        <v>6489828.7999999998</v>
      </c>
      <c r="DI32" s="376">
        <f t="shared" si="22"/>
        <v>6489828.7999999998</v>
      </c>
      <c r="DJ32" s="370">
        <f t="shared" si="23"/>
        <v>1</v>
      </c>
      <c r="DK32" s="370"/>
      <c r="DL32" s="377">
        <f t="shared" si="24"/>
        <v>6489828.7999999998</v>
      </c>
      <c r="DM32" s="370">
        <f t="shared" si="25"/>
        <v>6489828.7999999998</v>
      </c>
      <c r="DN32" s="370">
        <f t="shared" si="26"/>
        <v>0</v>
      </c>
      <c r="DO32" s="370">
        <f t="shared" si="27"/>
        <v>0</v>
      </c>
      <c r="DP32" s="370">
        <f t="shared" si="28"/>
        <v>0</v>
      </c>
      <c r="DQ32" s="378">
        <f t="shared" si="29"/>
        <v>6489828.7999999998</v>
      </c>
      <c r="DR32" s="370">
        <f t="shared" si="30"/>
        <v>0</v>
      </c>
      <c r="DS32" s="370">
        <f t="shared" si="31"/>
        <v>1297965.76</v>
      </c>
      <c r="DT32" s="370">
        <f t="shared" si="32"/>
        <v>2639483.87</v>
      </c>
      <c r="DU32" s="370">
        <f t="shared" si="33"/>
        <v>2552379.17</v>
      </c>
      <c r="DW32" s="370">
        <v>1341518.1100000001</v>
      </c>
      <c r="DX32" s="372">
        <v>0</v>
      </c>
      <c r="DY32" s="300">
        <v>0</v>
      </c>
      <c r="DZ32" s="381">
        <f t="shared" si="34"/>
        <v>584084.59199999995</v>
      </c>
      <c r="EA32" s="382">
        <f t="shared" si="35"/>
        <v>7073913.392</v>
      </c>
      <c r="EB32" s="608"/>
    </row>
    <row r="33" spans="1:132" ht="166.5" hidden="1" customHeight="1" thickTop="1" thickBot="1">
      <c r="A33" s="133">
        <v>1</v>
      </c>
      <c r="B33" s="411" t="s">
        <v>6</v>
      </c>
      <c r="C33" s="135" t="s">
        <v>304</v>
      </c>
      <c r="D33" s="135" t="s">
        <v>305</v>
      </c>
      <c r="E33" s="412" t="s">
        <v>114</v>
      </c>
      <c r="F33" s="347" t="s">
        <v>306</v>
      </c>
      <c r="G33" s="412" t="s">
        <v>418</v>
      </c>
      <c r="H33" s="347" t="s">
        <v>422</v>
      </c>
      <c r="I33" s="347" t="s">
        <v>819</v>
      </c>
      <c r="J33" s="76">
        <v>39</v>
      </c>
      <c r="K33" s="419" t="s">
        <v>424</v>
      </c>
      <c r="L33" s="347" t="s">
        <v>425</v>
      </c>
      <c r="M33" s="347" t="s">
        <v>820</v>
      </c>
      <c r="N33" s="349" t="s">
        <v>11</v>
      </c>
      <c r="O33" s="350">
        <v>19</v>
      </c>
      <c r="P33" s="39" t="s">
        <v>19</v>
      </c>
      <c r="Q33" s="32">
        <v>1905</v>
      </c>
      <c r="R33" s="32">
        <v>1905021</v>
      </c>
      <c r="S33" s="39" t="s">
        <v>44</v>
      </c>
      <c r="T33" s="39" t="s">
        <v>426</v>
      </c>
      <c r="U33" s="32">
        <v>190502100</v>
      </c>
      <c r="V33" s="40" t="s">
        <v>45</v>
      </c>
      <c r="W33" s="355" t="s">
        <v>316</v>
      </c>
      <c r="X33" s="385">
        <f>SUM(BE33:BE36)+BE37+BE38+BE39</f>
        <v>112053739.94999999</v>
      </c>
      <c r="Y33" s="355"/>
      <c r="Z33" s="355"/>
      <c r="AA33" s="355"/>
      <c r="AB33" s="355"/>
      <c r="AC33" s="356" t="e">
        <f>SUM(#REF!)</f>
        <v>#REF!</v>
      </c>
      <c r="AD33" s="355"/>
      <c r="AE33" s="355"/>
      <c r="AF33" s="355"/>
      <c r="AG33" s="355"/>
      <c r="AH33" s="356" t="e">
        <f t="shared" si="0"/>
        <v>#REF!</v>
      </c>
      <c r="AI33" s="357" t="s">
        <v>188</v>
      </c>
      <c r="AJ33" s="80">
        <v>1</v>
      </c>
      <c r="AK33" s="80">
        <v>1</v>
      </c>
      <c r="AL33" s="80">
        <v>1</v>
      </c>
      <c r="AM33" s="80">
        <v>1</v>
      </c>
      <c r="AN33" s="80">
        <v>1</v>
      </c>
      <c r="AO33" s="358">
        <v>1</v>
      </c>
      <c r="AP33" s="33">
        <f t="shared" si="1"/>
        <v>3000</v>
      </c>
      <c r="AQ33" s="359" t="s">
        <v>316</v>
      </c>
      <c r="AR33" s="25">
        <v>0</v>
      </c>
      <c r="AS33" s="25">
        <v>900</v>
      </c>
      <c r="AT33" s="25">
        <v>1400</v>
      </c>
      <c r="AU33" s="25">
        <v>700</v>
      </c>
      <c r="AV33" s="392" t="s">
        <v>739</v>
      </c>
      <c r="AW33" s="392" t="s">
        <v>740</v>
      </c>
      <c r="AX33" s="39" t="s">
        <v>821</v>
      </c>
      <c r="AY33" s="25">
        <v>378</v>
      </c>
      <c r="AZ33" s="39" t="s">
        <v>729</v>
      </c>
      <c r="BA33" s="40" t="s">
        <v>44</v>
      </c>
      <c r="BB33" s="360" t="s">
        <v>730</v>
      </c>
      <c r="BC33" s="361" t="s">
        <v>683</v>
      </c>
      <c r="BD33" s="40" t="s">
        <v>731</v>
      </c>
      <c r="BE33" s="391">
        <v>6449633.5999999996</v>
      </c>
      <c r="BF33" s="363" t="s">
        <v>771</v>
      </c>
      <c r="BG33" s="364" t="s">
        <v>822</v>
      </c>
      <c r="BH33" s="365" t="s">
        <v>823</v>
      </c>
      <c r="BI33" s="365"/>
      <c r="BJ33" s="26" t="s">
        <v>824</v>
      </c>
      <c r="BK33" s="26" t="s">
        <v>825</v>
      </c>
      <c r="BL33" s="359">
        <v>0</v>
      </c>
      <c r="BM33" s="359">
        <v>0</v>
      </c>
      <c r="BN33" s="359">
        <v>0</v>
      </c>
      <c r="BO33" s="366">
        <f t="shared" si="2"/>
        <v>0</v>
      </c>
      <c r="BP33" s="367">
        <f t="shared" si="3"/>
        <v>0</v>
      </c>
      <c r="BQ33" s="359">
        <v>0</v>
      </c>
      <c r="BR33" s="359">
        <v>207</v>
      </c>
      <c r="BS33" s="359">
        <v>995</v>
      </c>
      <c r="BT33" s="366">
        <f t="shared" si="4"/>
        <v>1202</v>
      </c>
      <c r="BU33" s="367">
        <f t="shared" si="5"/>
        <v>0.40066666666666667</v>
      </c>
      <c r="BV33" s="359">
        <v>688</v>
      </c>
      <c r="BW33" s="359">
        <v>443</v>
      </c>
      <c r="BX33" s="359">
        <v>518</v>
      </c>
      <c r="BY33" s="366">
        <f t="shared" si="6"/>
        <v>1649</v>
      </c>
      <c r="BZ33" s="367">
        <f t="shared" si="7"/>
        <v>0.54966666666666664</v>
      </c>
      <c r="CA33" s="359">
        <v>0</v>
      </c>
      <c r="CB33" s="359">
        <v>0</v>
      </c>
      <c r="CC33" s="359">
        <v>0</v>
      </c>
      <c r="CD33" s="366">
        <f t="shared" si="8"/>
        <v>0</v>
      </c>
      <c r="CE33" s="367">
        <f t="shared" si="9"/>
        <v>0</v>
      </c>
      <c r="CF33" s="368">
        <f t="shared" si="10"/>
        <v>2851</v>
      </c>
      <c r="CG33" s="359">
        <f t="shared" si="11"/>
        <v>0.95033333333333336</v>
      </c>
      <c r="CH33" s="369"/>
      <c r="CI33" s="369"/>
      <c r="CJ33" s="370">
        <v>0</v>
      </c>
      <c r="CK33" s="370">
        <v>0</v>
      </c>
      <c r="CL33" s="370">
        <v>0</v>
      </c>
      <c r="CM33" s="394">
        <v>6449633.5999999996</v>
      </c>
      <c r="CN33" s="374">
        <f t="shared" si="12"/>
        <v>0</v>
      </c>
      <c r="CO33" s="370">
        <f t="shared" si="13"/>
        <v>0</v>
      </c>
      <c r="CP33" s="370">
        <v>0</v>
      </c>
      <c r="CQ33" s="370">
        <v>0</v>
      </c>
      <c r="CR33" s="372">
        <v>445024.71840000001</v>
      </c>
      <c r="CS33" s="374">
        <v>0</v>
      </c>
      <c r="CT33" s="375">
        <f t="shared" si="14"/>
        <v>445024.71840000001</v>
      </c>
      <c r="CU33" s="370">
        <f t="shared" si="15"/>
        <v>6.9000000000000006E-2</v>
      </c>
      <c r="CV33" s="370">
        <v>2139128.4773333333</v>
      </c>
      <c r="CW33" s="370">
        <v>1479115.9722666666</v>
      </c>
      <c r="CX33" s="372">
        <v>952395.89493333339</v>
      </c>
      <c r="CY33" s="374">
        <v>0</v>
      </c>
      <c r="CZ33" s="375">
        <f t="shared" si="16"/>
        <v>4570640.3445333336</v>
      </c>
      <c r="DA33" s="370">
        <f t="shared" si="17"/>
        <v>0.70866666666666678</v>
      </c>
      <c r="DB33" s="370">
        <v>1113636.7349333332</v>
      </c>
      <c r="DC33" s="370">
        <v>320331.80213333335</v>
      </c>
      <c r="DD33" s="372">
        <v>0</v>
      </c>
      <c r="DE33" s="374">
        <v>0</v>
      </c>
      <c r="DF33" s="375">
        <f t="shared" si="19"/>
        <v>1433968.5370666666</v>
      </c>
      <c r="DG33" s="370">
        <f t="shared" si="20"/>
        <v>0.22233333333333336</v>
      </c>
      <c r="DH33" s="376">
        <f t="shared" si="21"/>
        <v>6449633.5999999996</v>
      </c>
      <c r="DI33" s="376">
        <f t="shared" si="22"/>
        <v>6449633.5999999996</v>
      </c>
      <c r="DJ33" s="370">
        <f t="shared" si="23"/>
        <v>1</v>
      </c>
      <c r="DK33" s="370"/>
      <c r="DL33" s="377">
        <f t="shared" si="24"/>
        <v>6449633.5999999996</v>
      </c>
      <c r="DM33" s="370">
        <f t="shared" si="25"/>
        <v>6449633.5999999996</v>
      </c>
      <c r="DN33" s="370">
        <f t="shared" si="26"/>
        <v>0</v>
      </c>
      <c r="DO33" s="370">
        <f t="shared" si="27"/>
        <v>0</v>
      </c>
      <c r="DP33" s="370">
        <f t="shared" si="28"/>
        <v>0</v>
      </c>
      <c r="DQ33" s="378">
        <f t="shared" si="29"/>
        <v>6449633.5999999996</v>
      </c>
      <c r="DR33" s="370">
        <f t="shared" si="30"/>
        <v>0</v>
      </c>
      <c r="DS33" s="370">
        <f t="shared" si="31"/>
        <v>445024.71840000001</v>
      </c>
      <c r="DT33" s="370">
        <f t="shared" si="32"/>
        <v>4570640.3445333336</v>
      </c>
      <c r="DU33" s="370">
        <f t="shared" si="33"/>
        <v>1433968.5370666666</v>
      </c>
      <c r="DW33" s="370">
        <v>1479115.9722666666</v>
      </c>
      <c r="DX33" s="372">
        <v>952395.89493333339</v>
      </c>
      <c r="DY33" s="300">
        <v>0</v>
      </c>
      <c r="DZ33" s="381">
        <f t="shared" si="34"/>
        <v>580467.02399999998</v>
      </c>
      <c r="EA33" s="382">
        <f t="shared" si="35"/>
        <v>7030100.6239999998</v>
      </c>
      <c r="EB33" s="608"/>
    </row>
    <row r="34" spans="1:132" ht="121.5" hidden="1" customHeight="1" thickTop="1" thickBot="1">
      <c r="A34" s="133">
        <v>1</v>
      </c>
      <c r="B34" s="411" t="s">
        <v>6</v>
      </c>
      <c r="C34" s="135" t="s">
        <v>304</v>
      </c>
      <c r="D34" s="135" t="s">
        <v>305</v>
      </c>
      <c r="E34" s="412" t="s">
        <v>114</v>
      </c>
      <c r="F34" s="347" t="s">
        <v>306</v>
      </c>
      <c r="G34" s="412" t="s">
        <v>418</v>
      </c>
      <c r="H34" s="347" t="s">
        <v>422</v>
      </c>
      <c r="I34" s="347" t="s">
        <v>819</v>
      </c>
      <c r="J34" s="76">
        <v>39</v>
      </c>
      <c r="K34" s="419" t="s">
        <v>424</v>
      </c>
      <c r="L34" s="347" t="s">
        <v>425</v>
      </c>
      <c r="M34" s="347" t="s">
        <v>820</v>
      </c>
      <c r="N34" s="349" t="s">
        <v>11</v>
      </c>
      <c r="O34" s="350">
        <v>19</v>
      </c>
      <c r="P34" s="39" t="s">
        <v>19</v>
      </c>
      <c r="Q34" s="32">
        <v>1905</v>
      </c>
      <c r="R34" s="32">
        <v>1905021</v>
      </c>
      <c r="S34" s="39" t="s">
        <v>44</v>
      </c>
      <c r="T34" s="39" t="s">
        <v>426</v>
      </c>
      <c r="U34" s="32">
        <v>190502100</v>
      </c>
      <c r="V34" s="40" t="s">
        <v>45</v>
      </c>
      <c r="W34" s="355" t="s">
        <v>316</v>
      </c>
      <c r="X34" s="355"/>
      <c r="Y34" s="355"/>
      <c r="Z34" s="355"/>
      <c r="AA34" s="355"/>
      <c r="AB34" s="355"/>
      <c r="AC34" s="355"/>
      <c r="AD34" s="355"/>
      <c r="AE34" s="355"/>
      <c r="AF34" s="355"/>
      <c r="AG34" s="355"/>
      <c r="AH34" s="356">
        <f t="shared" si="0"/>
        <v>0</v>
      </c>
      <c r="AI34" s="357" t="s">
        <v>826</v>
      </c>
      <c r="AJ34" s="80">
        <v>1</v>
      </c>
      <c r="AK34" s="80">
        <v>1</v>
      </c>
      <c r="AL34" s="80">
        <v>1</v>
      </c>
      <c r="AM34" s="80">
        <v>1</v>
      </c>
      <c r="AN34" s="80">
        <v>1</v>
      </c>
      <c r="AO34" s="358">
        <v>1</v>
      </c>
      <c r="AP34" s="33">
        <f t="shared" si="1"/>
        <v>100</v>
      </c>
      <c r="AQ34" s="359" t="s">
        <v>707</v>
      </c>
      <c r="AR34" s="25">
        <v>0</v>
      </c>
      <c r="AS34" s="25">
        <v>0</v>
      </c>
      <c r="AT34" s="25">
        <v>100</v>
      </c>
      <c r="AU34" s="25">
        <v>0</v>
      </c>
      <c r="AV34" s="39" t="s">
        <v>827</v>
      </c>
      <c r="AW34" s="39" t="s">
        <v>828</v>
      </c>
      <c r="AX34" s="39" t="s">
        <v>821</v>
      </c>
      <c r="AY34" s="25">
        <v>378</v>
      </c>
      <c r="AZ34" s="39" t="s">
        <v>729</v>
      </c>
      <c r="BA34" s="40" t="s">
        <v>44</v>
      </c>
      <c r="BB34" s="360" t="s">
        <v>730</v>
      </c>
      <c r="BC34" s="361" t="s">
        <v>683</v>
      </c>
      <c r="BD34" s="40" t="s">
        <v>731</v>
      </c>
      <c r="BE34" s="391">
        <v>37100000</v>
      </c>
      <c r="BF34" s="363" t="s">
        <v>771</v>
      </c>
      <c r="BG34" s="364" t="s">
        <v>822</v>
      </c>
      <c r="BH34" s="365" t="s">
        <v>823</v>
      </c>
      <c r="BI34" s="365"/>
      <c r="BJ34" s="26" t="s">
        <v>824</v>
      </c>
      <c r="BK34" s="26" t="s">
        <v>825</v>
      </c>
      <c r="BL34" s="359">
        <v>0</v>
      </c>
      <c r="BM34" s="359">
        <v>0</v>
      </c>
      <c r="BN34" s="359">
        <v>0</v>
      </c>
      <c r="BO34" s="366">
        <f t="shared" si="2"/>
        <v>0</v>
      </c>
      <c r="BP34" s="367">
        <f t="shared" si="3"/>
        <v>0</v>
      </c>
      <c r="BQ34" s="359">
        <v>0</v>
      </c>
      <c r="BR34" s="359">
        <v>0</v>
      </c>
      <c r="BS34" s="359">
        <v>0</v>
      </c>
      <c r="BT34" s="366">
        <f t="shared" si="4"/>
        <v>0</v>
      </c>
      <c r="BU34" s="367">
        <f t="shared" si="5"/>
        <v>0</v>
      </c>
      <c r="BV34" s="414">
        <v>34</v>
      </c>
      <c r="BW34" s="414">
        <v>46</v>
      </c>
      <c r="BX34" s="359">
        <v>0</v>
      </c>
      <c r="BY34" s="366">
        <f t="shared" si="6"/>
        <v>80</v>
      </c>
      <c r="BZ34" s="367">
        <f t="shared" si="7"/>
        <v>0.8</v>
      </c>
      <c r="CA34" s="359">
        <v>0</v>
      </c>
      <c r="CB34" s="359">
        <v>0</v>
      </c>
      <c r="CC34" s="359">
        <v>0</v>
      </c>
      <c r="CD34" s="366">
        <f t="shared" si="8"/>
        <v>0</v>
      </c>
      <c r="CE34" s="367" t="e">
        <f t="shared" si="9"/>
        <v>#DIV/0!</v>
      </c>
      <c r="CF34" s="368">
        <f t="shared" si="10"/>
        <v>80</v>
      </c>
      <c r="CG34" s="359">
        <f t="shared" si="11"/>
        <v>0.8</v>
      </c>
      <c r="CH34" s="369"/>
      <c r="CI34" s="369"/>
      <c r="CJ34" s="370">
        <v>0</v>
      </c>
      <c r="CK34" s="370">
        <v>0</v>
      </c>
      <c r="CL34" s="370">
        <v>0</v>
      </c>
      <c r="CM34" s="394">
        <v>37100000</v>
      </c>
      <c r="CN34" s="374">
        <f t="shared" si="12"/>
        <v>0</v>
      </c>
      <c r="CO34" s="370">
        <f t="shared" si="13"/>
        <v>0</v>
      </c>
      <c r="CP34" s="370">
        <v>0</v>
      </c>
      <c r="CQ34" s="370">
        <v>0</v>
      </c>
      <c r="CR34" s="372">
        <v>0</v>
      </c>
      <c r="CS34" s="374">
        <v>0</v>
      </c>
      <c r="CT34" s="375">
        <f t="shared" si="14"/>
        <v>0</v>
      </c>
      <c r="CU34" s="370">
        <f t="shared" si="15"/>
        <v>0</v>
      </c>
      <c r="CV34" s="370">
        <v>7420000</v>
      </c>
      <c r="CW34" s="370">
        <v>12366666</v>
      </c>
      <c r="CX34" s="372">
        <v>15458334</v>
      </c>
      <c r="CY34" s="374">
        <v>0</v>
      </c>
      <c r="CZ34" s="375">
        <f t="shared" si="16"/>
        <v>35245000</v>
      </c>
      <c r="DA34" s="370">
        <f t="shared" si="17"/>
        <v>0.95</v>
      </c>
      <c r="DB34" s="370">
        <v>1855000</v>
      </c>
      <c r="DC34" s="370">
        <v>0</v>
      </c>
      <c r="DD34" s="372">
        <v>0</v>
      </c>
      <c r="DE34" s="374">
        <v>0</v>
      </c>
      <c r="DF34" s="375">
        <f t="shared" si="19"/>
        <v>1855000</v>
      </c>
      <c r="DG34" s="370">
        <f t="shared" si="20"/>
        <v>0.05</v>
      </c>
      <c r="DH34" s="376">
        <f t="shared" si="21"/>
        <v>37100000</v>
      </c>
      <c r="DI34" s="376">
        <f t="shared" si="22"/>
        <v>37100000</v>
      </c>
      <c r="DJ34" s="370">
        <f t="shared" si="23"/>
        <v>1</v>
      </c>
      <c r="DK34" s="370"/>
      <c r="DL34" s="377">
        <f t="shared" si="24"/>
        <v>37100000</v>
      </c>
      <c r="DM34" s="370">
        <f t="shared" si="25"/>
        <v>37100000</v>
      </c>
      <c r="DN34" s="370">
        <f t="shared" si="26"/>
        <v>0</v>
      </c>
      <c r="DO34" s="370">
        <f t="shared" si="27"/>
        <v>0</v>
      </c>
      <c r="DP34" s="370">
        <f t="shared" si="28"/>
        <v>0</v>
      </c>
      <c r="DQ34" s="378">
        <f t="shared" si="29"/>
        <v>37100000</v>
      </c>
      <c r="DR34" s="370">
        <f t="shared" si="30"/>
        <v>0</v>
      </c>
      <c r="DS34" s="370">
        <f t="shared" si="31"/>
        <v>0</v>
      </c>
      <c r="DT34" s="370">
        <f t="shared" si="32"/>
        <v>35245000</v>
      </c>
      <c r="DU34" s="370">
        <f t="shared" si="33"/>
        <v>1855000</v>
      </c>
      <c r="DW34" s="370">
        <v>12366666</v>
      </c>
      <c r="DX34" s="372">
        <v>15458334</v>
      </c>
      <c r="DY34" s="300">
        <v>0</v>
      </c>
      <c r="DZ34" s="381">
        <f t="shared" si="34"/>
        <v>3339000</v>
      </c>
      <c r="EA34" s="382">
        <f t="shared" si="35"/>
        <v>40439000</v>
      </c>
      <c r="EB34" s="608"/>
    </row>
    <row r="35" spans="1:132" ht="141.75" hidden="1" customHeight="1" thickTop="1" thickBot="1">
      <c r="A35" s="133">
        <v>1</v>
      </c>
      <c r="B35" s="411" t="s">
        <v>6</v>
      </c>
      <c r="C35" s="135" t="s">
        <v>304</v>
      </c>
      <c r="D35" s="135" t="s">
        <v>305</v>
      </c>
      <c r="E35" s="412" t="s">
        <v>114</v>
      </c>
      <c r="F35" s="347" t="s">
        <v>306</v>
      </c>
      <c r="G35" s="412" t="s">
        <v>418</v>
      </c>
      <c r="H35" s="347" t="s">
        <v>422</v>
      </c>
      <c r="I35" s="347" t="s">
        <v>819</v>
      </c>
      <c r="J35" s="76">
        <v>39</v>
      </c>
      <c r="K35" s="419" t="s">
        <v>424</v>
      </c>
      <c r="L35" s="347" t="s">
        <v>425</v>
      </c>
      <c r="M35" s="347" t="s">
        <v>820</v>
      </c>
      <c r="N35" s="349" t="s">
        <v>11</v>
      </c>
      <c r="O35" s="350">
        <v>19</v>
      </c>
      <c r="P35" s="39" t="s">
        <v>19</v>
      </c>
      <c r="Q35" s="32">
        <v>1905</v>
      </c>
      <c r="R35" s="32">
        <v>1905021</v>
      </c>
      <c r="S35" s="39" t="s">
        <v>44</v>
      </c>
      <c r="T35" s="39" t="s">
        <v>426</v>
      </c>
      <c r="U35" s="32">
        <v>190502100</v>
      </c>
      <c r="V35" s="40" t="s">
        <v>45</v>
      </c>
      <c r="W35" s="355" t="s">
        <v>316</v>
      </c>
      <c r="X35" s="355"/>
      <c r="Y35" s="355"/>
      <c r="Z35" s="355"/>
      <c r="AA35" s="355"/>
      <c r="AB35" s="355"/>
      <c r="AC35" s="355"/>
      <c r="AD35" s="355"/>
      <c r="AE35" s="355"/>
      <c r="AF35" s="355"/>
      <c r="AG35" s="355"/>
      <c r="AH35" s="356">
        <f t="shared" si="0"/>
        <v>0</v>
      </c>
      <c r="AI35" s="357" t="s">
        <v>189</v>
      </c>
      <c r="AJ35" s="80">
        <v>1</v>
      </c>
      <c r="AK35" s="80">
        <v>1</v>
      </c>
      <c r="AL35" s="80">
        <v>1</v>
      </c>
      <c r="AM35" s="80">
        <v>1</v>
      </c>
      <c r="AN35" s="80">
        <v>1</v>
      </c>
      <c r="AO35" s="358">
        <v>1</v>
      </c>
      <c r="AP35" s="33">
        <f t="shared" si="1"/>
        <v>100</v>
      </c>
      <c r="AQ35" s="359" t="s">
        <v>707</v>
      </c>
      <c r="AR35" s="25">
        <v>0</v>
      </c>
      <c r="AS35" s="25">
        <v>0</v>
      </c>
      <c r="AT35" s="25">
        <v>70</v>
      </c>
      <c r="AU35" s="25">
        <v>30</v>
      </c>
      <c r="AV35" s="392" t="s">
        <v>739</v>
      </c>
      <c r="AW35" s="392" t="s">
        <v>740</v>
      </c>
      <c r="AX35" s="39" t="s">
        <v>821</v>
      </c>
      <c r="AY35" s="25">
        <v>378</v>
      </c>
      <c r="AZ35" s="39" t="s">
        <v>729</v>
      </c>
      <c r="BA35" s="40" t="s">
        <v>44</v>
      </c>
      <c r="BB35" s="360" t="s">
        <v>730</v>
      </c>
      <c r="BC35" s="361" t="s">
        <v>683</v>
      </c>
      <c r="BD35" s="40" t="s">
        <v>731</v>
      </c>
      <c r="BE35" s="402">
        <v>26500000</v>
      </c>
      <c r="BF35" s="363" t="s">
        <v>771</v>
      </c>
      <c r="BG35" s="364" t="s">
        <v>822</v>
      </c>
      <c r="BH35" s="365" t="s">
        <v>823</v>
      </c>
      <c r="BI35" s="365"/>
      <c r="BJ35" s="26" t="s">
        <v>824</v>
      </c>
      <c r="BK35" s="26" t="s">
        <v>825</v>
      </c>
      <c r="BL35" s="359">
        <v>0</v>
      </c>
      <c r="BM35" s="359">
        <v>0</v>
      </c>
      <c r="BN35" s="359">
        <v>0</v>
      </c>
      <c r="BO35" s="366">
        <f t="shared" si="2"/>
        <v>0</v>
      </c>
      <c r="BP35" s="367">
        <f t="shared" si="3"/>
        <v>0</v>
      </c>
      <c r="BQ35" s="359">
        <v>0</v>
      </c>
      <c r="BR35" s="359">
        <v>0</v>
      </c>
      <c r="BS35" s="359">
        <v>0</v>
      </c>
      <c r="BT35" s="366">
        <f t="shared" si="4"/>
        <v>0</v>
      </c>
      <c r="BU35" s="367">
        <f t="shared" si="5"/>
        <v>0</v>
      </c>
      <c r="BV35" s="359">
        <v>0</v>
      </c>
      <c r="BW35" s="359">
        <v>0</v>
      </c>
      <c r="BX35" s="414">
        <v>100</v>
      </c>
      <c r="BY35" s="366">
        <f t="shared" si="6"/>
        <v>100</v>
      </c>
      <c r="BZ35" s="367">
        <f t="shared" si="7"/>
        <v>1</v>
      </c>
      <c r="CA35" s="359">
        <v>0</v>
      </c>
      <c r="CB35" s="359">
        <v>0</v>
      </c>
      <c r="CC35" s="359">
        <v>0</v>
      </c>
      <c r="CD35" s="366">
        <f t="shared" si="8"/>
        <v>0</v>
      </c>
      <c r="CE35" s="367">
        <f t="shared" si="9"/>
        <v>0</v>
      </c>
      <c r="CF35" s="368">
        <f t="shared" si="10"/>
        <v>100</v>
      </c>
      <c r="CG35" s="359">
        <f t="shared" si="11"/>
        <v>1</v>
      </c>
      <c r="CH35" s="369"/>
      <c r="CI35" s="369"/>
      <c r="CJ35" s="370">
        <v>0</v>
      </c>
      <c r="CK35" s="370">
        <v>0</v>
      </c>
      <c r="CL35" s="370">
        <v>0</v>
      </c>
      <c r="CM35" s="404">
        <v>26500000</v>
      </c>
      <c r="CN35" s="374">
        <f t="shared" si="12"/>
        <v>0</v>
      </c>
      <c r="CO35" s="370">
        <f t="shared" si="13"/>
        <v>0</v>
      </c>
      <c r="CP35" s="370">
        <v>0</v>
      </c>
      <c r="CQ35" s="370">
        <v>0</v>
      </c>
      <c r="CR35" s="372">
        <v>0</v>
      </c>
      <c r="CS35" s="374">
        <v>0</v>
      </c>
      <c r="CT35" s="375">
        <f t="shared" si="14"/>
        <v>0</v>
      </c>
      <c r="CU35" s="370">
        <f t="shared" si="15"/>
        <v>0</v>
      </c>
      <c r="CV35" s="370">
        <v>0</v>
      </c>
      <c r="CW35" s="370">
        <v>0</v>
      </c>
      <c r="CX35" s="372">
        <v>0</v>
      </c>
      <c r="CY35" s="374">
        <v>0</v>
      </c>
      <c r="CZ35" s="375">
        <f t="shared" si="16"/>
        <v>0</v>
      </c>
      <c r="DA35" s="370">
        <f t="shared" si="17"/>
        <v>0</v>
      </c>
      <c r="DB35" s="370">
        <v>26500000</v>
      </c>
      <c r="DC35" s="370">
        <v>0</v>
      </c>
      <c r="DD35" s="372">
        <v>0</v>
      </c>
      <c r="DE35" s="374">
        <v>0</v>
      </c>
      <c r="DF35" s="375">
        <f t="shared" si="19"/>
        <v>26500000</v>
      </c>
      <c r="DG35" s="370">
        <f t="shared" si="20"/>
        <v>1</v>
      </c>
      <c r="DH35" s="376">
        <f t="shared" si="21"/>
        <v>26500000</v>
      </c>
      <c r="DI35" s="376">
        <f t="shared" si="22"/>
        <v>26500000</v>
      </c>
      <c r="DJ35" s="370">
        <f t="shared" si="23"/>
        <v>1</v>
      </c>
      <c r="DK35" s="370"/>
      <c r="DL35" s="377">
        <f t="shared" si="24"/>
        <v>26500000</v>
      </c>
      <c r="DM35" s="370">
        <f t="shared" si="25"/>
        <v>26500000</v>
      </c>
      <c r="DN35" s="370">
        <f t="shared" si="26"/>
        <v>0</v>
      </c>
      <c r="DO35" s="370">
        <f t="shared" si="27"/>
        <v>0</v>
      </c>
      <c r="DP35" s="370">
        <f t="shared" si="28"/>
        <v>0</v>
      </c>
      <c r="DQ35" s="378">
        <f t="shared" si="29"/>
        <v>26500000</v>
      </c>
      <c r="DR35" s="370">
        <f t="shared" si="30"/>
        <v>0</v>
      </c>
      <c r="DS35" s="370">
        <f t="shared" si="31"/>
        <v>0</v>
      </c>
      <c r="DT35" s="370">
        <f t="shared" si="32"/>
        <v>0</v>
      </c>
      <c r="DU35" s="370">
        <f t="shared" si="33"/>
        <v>26500000</v>
      </c>
      <c r="DW35" s="370">
        <v>0</v>
      </c>
      <c r="DX35" s="372">
        <v>0</v>
      </c>
      <c r="DY35" s="300">
        <v>0</v>
      </c>
      <c r="DZ35" s="381">
        <f t="shared" si="34"/>
        <v>2385000</v>
      </c>
      <c r="EA35" s="382">
        <f t="shared" si="35"/>
        <v>28885000</v>
      </c>
      <c r="EB35" s="608"/>
    </row>
    <row r="36" spans="1:132" ht="117.75" hidden="1" customHeight="1" thickTop="1" thickBot="1">
      <c r="A36" s="133">
        <v>1</v>
      </c>
      <c r="B36" s="411" t="s">
        <v>6</v>
      </c>
      <c r="C36" s="135" t="s">
        <v>304</v>
      </c>
      <c r="D36" s="135" t="s">
        <v>305</v>
      </c>
      <c r="E36" s="412" t="s">
        <v>114</v>
      </c>
      <c r="F36" s="347" t="s">
        <v>306</v>
      </c>
      <c r="G36" s="412" t="s">
        <v>418</v>
      </c>
      <c r="H36" s="347" t="s">
        <v>422</v>
      </c>
      <c r="I36" s="347" t="s">
        <v>819</v>
      </c>
      <c r="J36" s="76">
        <v>39</v>
      </c>
      <c r="K36" s="419" t="s">
        <v>424</v>
      </c>
      <c r="L36" s="347" t="s">
        <v>425</v>
      </c>
      <c r="M36" s="347" t="s">
        <v>820</v>
      </c>
      <c r="N36" s="349" t="s">
        <v>11</v>
      </c>
      <c r="O36" s="350">
        <v>19</v>
      </c>
      <c r="P36" s="39" t="s">
        <v>19</v>
      </c>
      <c r="Q36" s="32">
        <v>1905</v>
      </c>
      <c r="R36" s="32">
        <v>1905021</v>
      </c>
      <c r="S36" s="39" t="s">
        <v>44</v>
      </c>
      <c r="T36" s="39" t="s">
        <v>426</v>
      </c>
      <c r="U36" s="32">
        <v>190502100</v>
      </c>
      <c r="V36" s="40" t="s">
        <v>45</v>
      </c>
      <c r="W36" s="355" t="s">
        <v>316</v>
      </c>
      <c r="X36" s="355"/>
      <c r="Y36" s="355"/>
      <c r="Z36" s="355"/>
      <c r="AA36" s="355"/>
      <c r="AB36" s="355"/>
      <c r="AC36" s="355"/>
      <c r="AD36" s="355"/>
      <c r="AE36" s="355"/>
      <c r="AF36" s="355"/>
      <c r="AG36" s="355"/>
      <c r="AH36" s="356">
        <f t="shared" si="0"/>
        <v>0</v>
      </c>
      <c r="AI36" s="357" t="s">
        <v>190</v>
      </c>
      <c r="AJ36" s="80">
        <v>1</v>
      </c>
      <c r="AK36" s="80">
        <v>1</v>
      </c>
      <c r="AL36" s="80">
        <v>1</v>
      </c>
      <c r="AM36" s="80">
        <v>1</v>
      </c>
      <c r="AN36" s="80">
        <v>1</v>
      </c>
      <c r="AO36" s="358">
        <v>1</v>
      </c>
      <c r="AP36" s="33">
        <f t="shared" si="1"/>
        <v>9158</v>
      </c>
      <c r="AQ36" s="359" t="s">
        <v>316</v>
      </c>
      <c r="AR36" s="25">
        <v>0</v>
      </c>
      <c r="AS36" s="25">
        <v>0</v>
      </c>
      <c r="AT36" s="25">
        <v>4000</v>
      </c>
      <c r="AU36" s="25">
        <v>5158</v>
      </c>
      <c r="AV36" s="392" t="s">
        <v>779</v>
      </c>
      <c r="AW36" s="392" t="s">
        <v>740</v>
      </c>
      <c r="AX36" s="39" t="s">
        <v>821</v>
      </c>
      <c r="AY36" s="25">
        <v>378</v>
      </c>
      <c r="AZ36" s="39" t="s">
        <v>729</v>
      </c>
      <c r="BA36" s="40" t="s">
        <v>44</v>
      </c>
      <c r="BB36" s="360" t="s">
        <v>730</v>
      </c>
      <c r="BC36" s="361" t="s">
        <v>683</v>
      </c>
      <c r="BD36" s="40" t="s">
        <v>731</v>
      </c>
      <c r="BE36" s="402">
        <v>16687567.15</v>
      </c>
      <c r="BF36" s="363" t="s">
        <v>771</v>
      </c>
      <c r="BG36" s="364" t="s">
        <v>822</v>
      </c>
      <c r="BH36" s="365" t="s">
        <v>823</v>
      </c>
      <c r="BI36" s="365"/>
      <c r="BJ36" s="26" t="s">
        <v>824</v>
      </c>
      <c r="BK36" s="26" t="s">
        <v>825</v>
      </c>
      <c r="BL36" s="359">
        <v>0</v>
      </c>
      <c r="BM36" s="359">
        <v>0</v>
      </c>
      <c r="BN36" s="359">
        <v>0</v>
      </c>
      <c r="BO36" s="366">
        <f t="shared" si="2"/>
        <v>0</v>
      </c>
      <c r="BP36" s="367">
        <f t="shared" si="3"/>
        <v>0</v>
      </c>
      <c r="BQ36" s="359">
        <v>0</v>
      </c>
      <c r="BR36" s="359">
        <v>9158</v>
      </c>
      <c r="BS36" s="359">
        <v>0</v>
      </c>
      <c r="BT36" s="366">
        <f t="shared" si="4"/>
        <v>9158</v>
      </c>
      <c r="BU36" s="367">
        <f t="shared" si="5"/>
        <v>1</v>
      </c>
      <c r="BV36" s="359">
        <v>0</v>
      </c>
      <c r="BW36" s="359">
        <v>0</v>
      </c>
      <c r="BX36" s="359">
        <v>0</v>
      </c>
      <c r="BY36" s="366">
        <f t="shared" si="6"/>
        <v>0</v>
      </c>
      <c r="BZ36" s="367">
        <f t="shared" si="7"/>
        <v>0</v>
      </c>
      <c r="CA36" s="359">
        <v>0</v>
      </c>
      <c r="CB36" s="359">
        <v>0</v>
      </c>
      <c r="CC36" s="359">
        <v>0</v>
      </c>
      <c r="CD36" s="366">
        <f t="shared" si="8"/>
        <v>0</v>
      </c>
      <c r="CE36" s="367">
        <f t="shared" si="9"/>
        <v>0</v>
      </c>
      <c r="CF36" s="368">
        <f t="shared" si="10"/>
        <v>9158</v>
      </c>
      <c r="CG36" s="359">
        <f t="shared" si="11"/>
        <v>1</v>
      </c>
      <c r="CH36" s="369"/>
      <c r="CI36" s="369"/>
      <c r="CJ36" s="370">
        <v>0</v>
      </c>
      <c r="CK36" s="370">
        <v>0</v>
      </c>
      <c r="CL36" s="370">
        <v>0</v>
      </c>
      <c r="CM36" s="404">
        <v>16687567.15</v>
      </c>
      <c r="CN36" s="374">
        <f t="shared" si="12"/>
        <v>0</v>
      </c>
      <c r="CO36" s="370">
        <f t="shared" si="13"/>
        <v>0</v>
      </c>
      <c r="CP36" s="370">
        <v>0</v>
      </c>
      <c r="CQ36" s="370">
        <v>0</v>
      </c>
      <c r="CR36" s="372">
        <v>16687567.15</v>
      </c>
      <c r="CS36" s="374">
        <v>0</v>
      </c>
      <c r="CT36" s="375">
        <f t="shared" si="14"/>
        <v>16687567.15</v>
      </c>
      <c r="CU36" s="370">
        <f t="shared" si="15"/>
        <v>1</v>
      </c>
      <c r="CV36" s="370">
        <v>0</v>
      </c>
      <c r="CW36" s="370">
        <v>0</v>
      </c>
      <c r="CX36" s="372">
        <v>0</v>
      </c>
      <c r="CY36" s="374">
        <v>0</v>
      </c>
      <c r="CZ36" s="375">
        <f t="shared" si="16"/>
        <v>0</v>
      </c>
      <c r="DA36" s="370">
        <f t="shared" si="17"/>
        <v>0</v>
      </c>
      <c r="DB36" s="370">
        <v>0</v>
      </c>
      <c r="DC36" s="370">
        <v>0</v>
      </c>
      <c r="DD36" s="372">
        <v>0</v>
      </c>
      <c r="DE36" s="374">
        <v>0</v>
      </c>
      <c r="DF36" s="375">
        <f t="shared" si="19"/>
        <v>0</v>
      </c>
      <c r="DG36" s="370">
        <f t="shared" si="20"/>
        <v>0</v>
      </c>
      <c r="DH36" s="376">
        <f t="shared" si="21"/>
        <v>16687567.15</v>
      </c>
      <c r="DI36" s="376">
        <f t="shared" si="22"/>
        <v>16687567.15</v>
      </c>
      <c r="DJ36" s="370">
        <f t="shared" si="23"/>
        <v>1</v>
      </c>
      <c r="DK36" s="370"/>
      <c r="DL36" s="377">
        <f t="shared" si="24"/>
        <v>16687567.15</v>
      </c>
      <c r="DM36" s="370">
        <f t="shared" si="25"/>
        <v>16687567.15</v>
      </c>
      <c r="DN36" s="370">
        <f t="shared" si="26"/>
        <v>0</v>
      </c>
      <c r="DO36" s="370">
        <f t="shared" si="27"/>
        <v>0</v>
      </c>
      <c r="DP36" s="370">
        <f t="shared" si="28"/>
        <v>0</v>
      </c>
      <c r="DQ36" s="378">
        <f t="shared" si="29"/>
        <v>16687567.15</v>
      </c>
      <c r="DR36" s="370">
        <f t="shared" si="30"/>
        <v>0</v>
      </c>
      <c r="DS36" s="370">
        <f t="shared" si="31"/>
        <v>16687567.15</v>
      </c>
      <c r="DT36" s="370">
        <f t="shared" si="32"/>
        <v>0</v>
      </c>
      <c r="DU36" s="370">
        <f t="shared" si="33"/>
        <v>0</v>
      </c>
      <c r="DW36" s="370">
        <v>0</v>
      </c>
      <c r="DX36" s="372">
        <v>0</v>
      </c>
      <c r="DY36" s="300">
        <v>0</v>
      </c>
      <c r="DZ36" s="381">
        <f t="shared" si="34"/>
        <v>1501881.0434999999</v>
      </c>
      <c r="EA36" s="382">
        <f t="shared" si="35"/>
        <v>18189448.193500001</v>
      </c>
      <c r="EB36" s="608"/>
    </row>
    <row r="37" spans="1:132" ht="134.25" hidden="1" customHeight="1" thickTop="1" thickBot="1">
      <c r="A37" s="133">
        <v>1</v>
      </c>
      <c r="B37" s="411" t="s">
        <v>6</v>
      </c>
      <c r="C37" s="135" t="s">
        <v>304</v>
      </c>
      <c r="D37" s="135" t="s">
        <v>305</v>
      </c>
      <c r="E37" s="412" t="s">
        <v>114</v>
      </c>
      <c r="F37" s="347" t="s">
        <v>306</v>
      </c>
      <c r="G37" s="412" t="s">
        <v>418</v>
      </c>
      <c r="H37" s="347" t="s">
        <v>422</v>
      </c>
      <c r="I37" s="347" t="s">
        <v>819</v>
      </c>
      <c r="J37" s="76">
        <v>39</v>
      </c>
      <c r="K37" s="419" t="s">
        <v>424</v>
      </c>
      <c r="L37" s="347" t="s">
        <v>425</v>
      </c>
      <c r="M37" s="347" t="s">
        <v>820</v>
      </c>
      <c r="N37" s="349" t="s">
        <v>11</v>
      </c>
      <c r="O37" s="350">
        <v>19</v>
      </c>
      <c r="P37" s="39" t="s">
        <v>19</v>
      </c>
      <c r="Q37" s="32">
        <v>1905</v>
      </c>
      <c r="R37" s="32">
        <v>1905021</v>
      </c>
      <c r="S37" s="39" t="s">
        <v>44</v>
      </c>
      <c r="T37" s="39" t="s">
        <v>426</v>
      </c>
      <c r="U37" s="32">
        <v>190502100</v>
      </c>
      <c r="V37" s="40" t="s">
        <v>45</v>
      </c>
      <c r="W37" s="355" t="s">
        <v>316</v>
      </c>
      <c r="X37" s="355"/>
      <c r="Y37" s="355"/>
      <c r="Z37" s="355"/>
      <c r="AA37" s="355"/>
      <c r="AB37" s="355"/>
      <c r="AC37" s="355"/>
      <c r="AD37" s="355"/>
      <c r="AE37" s="355"/>
      <c r="AF37" s="355"/>
      <c r="AG37" s="355"/>
      <c r="AH37" s="356">
        <f t="shared" si="0"/>
        <v>0</v>
      </c>
      <c r="AI37" s="357" t="s">
        <v>191</v>
      </c>
      <c r="AJ37" s="80">
        <v>1</v>
      </c>
      <c r="AK37" s="80">
        <v>1</v>
      </c>
      <c r="AL37" s="80">
        <v>1</v>
      </c>
      <c r="AM37" s="80">
        <v>1</v>
      </c>
      <c r="AN37" s="80">
        <v>1</v>
      </c>
      <c r="AO37" s="358">
        <v>1</v>
      </c>
      <c r="AP37" s="33">
        <f t="shared" si="1"/>
        <v>4</v>
      </c>
      <c r="AQ37" s="359" t="s">
        <v>316</v>
      </c>
      <c r="AR37" s="25">
        <v>0</v>
      </c>
      <c r="AS37" s="25">
        <v>0</v>
      </c>
      <c r="AT37" s="25">
        <v>2</v>
      </c>
      <c r="AU37" s="25">
        <v>2</v>
      </c>
      <c r="AV37" s="39" t="s">
        <v>827</v>
      </c>
      <c r="AW37" s="39" t="s">
        <v>802</v>
      </c>
      <c r="AX37" s="39" t="s">
        <v>821</v>
      </c>
      <c r="AY37" s="25">
        <v>378</v>
      </c>
      <c r="AZ37" s="39" t="s">
        <v>729</v>
      </c>
      <c r="BA37" s="40" t="s">
        <v>44</v>
      </c>
      <c r="BB37" s="360" t="s">
        <v>730</v>
      </c>
      <c r="BC37" s="361" t="s">
        <v>683</v>
      </c>
      <c r="BD37" s="40" t="s">
        <v>731</v>
      </c>
      <c r="BE37" s="420">
        <v>6773145.5999999996</v>
      </c>
      <c r="BF37" s="363" t="s">
        <v>771</v>
      </c>
      <c r="BG37" s="364" t="s">
        <v>822</v>
      </c>
      <c r="BH37" s="365" t="s">
        <v>823</v>
      </c>
      <c r="BI37" s="365"/>
      <c r="BJ37" s="26" t="s">
        <v>824</v>
      </c>
      <c r="BK37" s="26" t="s">
        <v>825</v>
      </c>
      <c r="BL37" s="359">
        <v>0</v>
      </c>
      <c r="BM37" s="359">
        <v>0</v>
      </c>
      <c r="BN37" s="359">
        <v>0</v>
      </c>
      <c r="BO37" s="366">
        <f t="shared" si="2"/>
        <v>0</v>
      </c>
      <c r="BP37" s="367">
        <f t="shared" si="3"/>
        <v>0</v>
      </c>
      <c r="BQ37" s="359">
        <v>0</v>
      </c>
      <c r="BR37" s="359">
        <v>0</v>
      </c>
      <c r="BS37" s="359">
        <v>0</v>
      </c>
      <c r="BT37" s="366">
        <f t="shared" si="4"/>
        <v>0</v>
      </c>
      <c r="BU37" s="367">
        <f t="shared" si="5"/>
        <v>0</v>
      </c>
      <c r="BV37" s="359">
        <v>1</v>
      </c>
      <c r="BW37" s="359">
        <v>1</v>
      </c>
      <c r="BX37" s="359">
        <v>1</v>
      </c>
      <c r="BY37" s="366">
        <f t="shared" si="6"/>
        <v>3</v>
      </c>
      <c r="BZ37" s="367">
        <f t="shared" si="7"/>
        <v>0.75</v>
      </c>
      <c r="CA37" s="359">
        <v>0</v>
      </c>
      <c r="CB37" s="359">
        <v>0</v>
      </c>
      <c r="CC37" s="359">
        <v>0</v>
      </c>
      <c r="CD37" s="366">
        <f t="shared" si="8"/>
        <v>0</v>
      </c>
      <c r="CE37" s="367">
        <f t="shared" si="9"/>
        <v>0</v>
      </c>
      <c r="CF37" s="368">
        <f t="shared" si="10"/>
        <v>3</v>
      </c>
      <c r="CG37" s="359">
        <f t="shared" si="11"/>
        <v>0.75</v>
      </c>
      <c r="CH37" s="369"/>
      <c r="CI37" s="369"/>
      <c r="CJ37" s="370">
        <v>0</v>
      </c>
      <c r="CK37" s="370">
        <v>0</v>
      </c>
      <c r="CL37" s="370">
        <v>0</v>
      </c>
      <c r="CM37" s="394">
        <v>6773145.5999999996</v>
      </c>
      <c r="CN37" s="374">
        <f t="shared" si="12"/>
        <v>0</v>
      </c>
      <c r="CO37" s="370">
        <f t="shared" si="13"/>
        <v>0</v>
      </c>
      <c r="CP37" s="370">
        <v>0</v>
      </c>
      <c r="CQ37" s="370"/>
      <c r="CR37" s="372">
        <v>0</v>
      </c>
      <c r="CS37" s="374">
        <v>0</v>
      </c>
      <c r="CT37" s="375">
        <f t="shared" si="14"/>
        <v>0</v>
      </c>
      <c r="CU37" s="370">
        <f t="shared" si="15"/>
        <v>0</v>
      </c>
      <c r="CV37" s="370">
        <v>1693286.3999999999</v>
      </c>
      <c r="CW37" s="370">
        <v>1693286.3999999999</v>
      </c>
      <c r="CX37" s="372">
        <v>1693286.3999999999</v>
      </c>
      <c r="CY37" s="374">
        <v>0</v>
      </c>
      <c r="CZ37" s="375">
        <f t="shared" si="16"/>
        <v>5079859.1999999993</v>
      </c>
      <c r="DA37" s="370">
        <f t="shared" si="17"/>
        <v>0.74999999999999989</v>
      </c>
      <c r="DB37" s="370">
        <v>1693286.3999999999</v>
      </c>
      <c r="DC37" s="370">
        <v>0</v>
      </c>
      <c r="DD37" s="372">
        <v>0</v>
      </c>
      <c r="DE37" s="374">
        <v>0</v>
      </c>
      <c r="DF37" s="375">
        <f t="shared" si="19"/>
        <v>1693286.3999999999</v>
      </c>
      <c r="DG37" s="370">
        <f t="shared" si="20"/>
        <v>0.25</v>
      </c>
      <c r="DH37" s="376">
        <f t="shared" si="21"/>
        <v>6773145.5999999996</v>
      </c>
      <c r="DI37" s="376">
        <f t="shared" si="22"/>
        <v>6773145.5999999996</v>
      </c>
      <c r="DJ37" s="370">
        <f t="shared" si="23"/>
        <v>1</v>
      </c>
      <c r="DK37" s="370"/>
      <c r="DL37" s="377">
        <f t="shared" si="24"/>
        <v>6773145.5999999996</v>
      </c>
      <c r="DM37" s="370">
        <f t="shared" si="25"/>
        <v>6773145.5999999996</v>
      </c>
      <c r="DN37" s="370">
        <f t="shared" si="26"/>
        <v>0</v>
      </c>
      <c r="DO37" s="370">
        <f t="shared" si="27"/>
        <v>0</v>
      </c>
      <c r="DP37" s="370">
        <f t="shared" si="28"/>
        <v>0</v>
      </c>
      <c r="DQ37" s="378">
        <f t="shared" si="29"/>
        <v>6773145.5999999996</v>
      </c>
      <c r="DR37" s="370">
        <f t="shared" si="30"/>
        <v>0</v>
      </c>
      <c r="DS37" s="370">
        <f t="shared" si="31"/>
        <v>0</v>
      </c>
      <c r="DT37" s="370">
        <f t="shared" si="32"/>
        <v>5079859.1999999993</v>
      </c>
      <c r="DU37" s="370">
        <f t="shared" si="33"/>
        <v>1693286.3999999999</v>
      </c>
      <c r="DW37" s="370">
        <v>1693286.3999999999</v>
      </c>
      <c r="DX37" s="372">
        <v>1693286.3999999999</v>
      </c>
      <c r="DY37" s="300">
        <v>0</v>
      </c>
      <c r="DZ37" s="381">
        <f t="shared" si="34"/>
        <v>609583.10399999993</v>
      </c>
      <c r="EA37" s="382">
        <f t="shared" si="35"/>
        <v>7382728.7039999999</v>
      </c>
      <c r="EB37" s="608"/>
    </row>
    <row r="38" spans="1:132" ht="117.75" hidden="1" customHeight="1" thickTop="1" thickBot="1">
      <c r="A38" s="133">
        <v>1</v>
      </c>
      <c r="B38" s="411" t="s">
        <v>6</v>
      </c>
      <c r="C38" s="135" t="s">
        <v>304</v>
      </c>
      <c r="D38" s="135" t="s">
        <v>305</v>
      </c>
      <c r="E38" s="412" t="s">
        <v>114</v>
      </c>
      <c r="F38" s="347" t="s">
        <v>306</v>
      </c>
      <c r="G38" s="412" t="s">
        <v>418</v>
      </c>
      <c r="H38" s="347" t="s">
        <v>422</v>
      </c>
      <c r="I38" s="347" t="s">
        <v>819</v>
      </c>
      <c r="J38" s="76">
        <v>39</v>
      </c>
      <c r="K38" s="419" t="s">
        <v>424</v>
      </c>
      <c r="L38" s="347" t="s">
        <v>425</v>
      </c>
      <c r="M38" s="347" t="s">
        <v>820</v>
      </c>
      <c r="N38" s="349" t="s">
        <v>11</v>
      </c>
      <c r="O38" s="350">
        <v>19</v>
      </c>
      <c r="P38" s="39" t="s">
        <v>19</v>
      </c>
      <c r="Q38" s="32">
        <v>1905</v>
      </c>
      <c r="R38" s="32">
        <v>1905021</v>
      </c>
      <c r="S38" s="39" t="s">
        <v>44</v>
      </c>
      <c r="T38" s="39" t="s">
        <v>426</v>
      </c>
      <c r="U38" s="32">
        <v>190502100</v>
      </c>
      <c r="V38" s="40" t="s">
        <v>45</v>
      </c>
      <c r="W38" s="355" t="s">
        <v>316</v>
      </c>
      <c r="X38" s="355"/>
      <c r="Y38" s="355"/>
      <c r="Z38" s="355"/>
      <c r="AA38" s="355"/>
      <c r="AB38" s="355"/>
      <c r="AC38" s="355"/>
      <c r="AD38" s="355"/>
      <c r="AE38" s="355"/>
      <c r="AF38" s="355"/>
      <c r="AG38" s="355"/>
      <c r="AH38" s="356">
        <f t="shared" si="0"/>
        <v>0</v>
      </c>
      <c r="AI38" s="357" t="s">
        <v>192</v>
      </c>
      <c r="AJ38" s="80">
        <v>1</v>
      </c>
      <c r="AK38" s="80">
        <v>1</v>
      </c>
      <c r="AL38" s="80">
        <v>1</v>
      </c>
      <c r="AM38" s="80">
        <v>1</v>
      </c>
      <c r="AN38" s="80">
        <v>1</v>
      </c>
      <c r="AO38" s="358">
        <v>1</v>
      </c>
      <c r="AP38" s="33">
        <f t="shared" si="1"/>
        <v>2000</v>
      </c>
      <c r="AQ38" s="359" t="s">
        <v>316</v>
      </c>
      <c r="AR38" s="25">
        <v>0</v>
      </c>
      <c r="AS38" s="25">
        <v>400</v>
      </c>
      <c r="AT38" s="25">
        <v>800</v>
      </c>
      <c r="AU38" s="25">
        <v>800</v>
      </c>
      <c r="AV38" s="39" t="s">
        <v>827</v>
      </c>
      <c r="AW38" s="39" t="s">
        <v>828</v>
      </c>
      <c r="AX38" s="39" t="s">
        <v>821</v>
      </c>
      <c r="AY38" s="25">
        <v>378</v>
      </c>
      <c r="AZ38" s="39" t="s">
        <v>729</v>
      </c>
      <c r="BA38" s="40" t="s">
        <v>44</v>
      </c>
      <c r="BB38" s="360" t="s">
        <v>730</v>
      </c>
      <c r="BC38" s="361" t="s">
        <v>683</v>
      </c>
      <c r="BD38" s="40" t="s">
        <v>731</v>
      </c>
      <c r="BE38" s="421">
        <v>12093760</v>
      </c>
      <c r="BF38" s="363" t="s">
        <v>771</v>
      </c>
      <c r="BG38" s="364" t="s">
        <v>822</v>
      </c>
      <c r="BH38" s="365" t="s">
        <v>823</v>
      </c>
      <c r="BI38" s="365"/>
      <c r="BJ38" s="26" t="s">
        <v>824</v>
      </c>
      <c r="BK38" s="26" t="s">
        <v>825</v>
      </c>
      <c r="BL38" s="359">
        <v>0</v>
      </c>
      <c r="BM38" s="359">
        <v>0</v>
      </c>
      <c r="BN38" s="359">
        <v>0</v>
      </c>
      <c r="BO38" s="366">
        <f t="shared" si="2"/>
        <v>0</v>
      </c>
      <c r="BP38" s="367">
        <f t="shared" si="3"/>
        <v>0</v>
      </c>
      <c r="BQ38" s="359">
        <v>0</v>
      </c>
      <c r="BR38" s="359">
        <v>93</v>
      </c>
      <c r="BS38" s="359">
        <v>443</v>
      </c>
      <c r="BT38" s="366">
        <f t="shared" si="4"/>
        <v>536</v>
      </c>
      <c r="BU38" s="367">
        <f t="shared" si="5"/>
        <v>0.26800000000000002</v>
      </c>
      <c r="BV38" s="359">
        <v>317</v>
      </c>
      <c r="BW38" s="359">
        <v>322</v>
      </c>
      <c r="BX38" s="359">
        <v>225</v>
      </c>
      <c r="BY38" s="366">
        <f t="shared" si="6"/>
        <v>864</v>
      </c>
      <c r="BZ38" s="367">
        <f t="shared" si="7"/>
        <v>0.432</v>
      </c>
      <c r="CA38" s="359">
        <v>0</v>
      </c>
      <c r="CB38" s="359">
        <v>0</v>
      </c>
      <c r="CC38" s="359">
        <v>0</v>
      </c>
      <c r="CD38" s="366">
        <f t="shared" si="8"/>
        <v>0</v>
      </c>
      <c r="CE38" s="367">
        <f t="shared" si="9"/>
        <v>0</v>
      </c>
      <c r="CF38" s="368">
        <f t="shared" si="10"/>
        <v>1400</v>
      </c>
      <c r="CG38" s="359">
        <f t="shared" si="11"/>
        <v>0.7</v>
      </c>
      <c r="CH38" s="369"/>
      <c r="CI38" s="369"/>
      <c r="CJ38" s="370">
        <v>0</v>
      </c>
      <c r="CK38" s="370">
        <v>0</v>
      </c>
      <c r="CL38" s="370">
        <v>0</v>
      </c>
      <c r="CM38" s="375">
        <v>12093760</v>
      </c>
      <c r="CN38" s="374">
        <f t="shared" si="12"/>
        <v>0</v>
      </c>
      <c r="CO38" s="370">
        <f t="shared" si="13"/>
        <v>0</v>
      </c>
      <c r="CP38" s="370">
        <v>0</v>
      </c>
      <c r="CQ38" s="370">
        <v>0</v>
      </c>
      <c r="CR38" s="372">
        <v>562359.84</v>
      </c>
      <c r="CS38" s="374">
        <v>0</v>
      </c>
      <c r="CT38" s="375">
        <f t="shared" si="14"/>
        <v>562359.84</v>
      </c>
      <c r="CU38" s="370">
        <f t="shared" si="15"/>
        <v>4.65E-2</v>
      </c>
      <c r="CV38" s="370">
        <v>2678767.84</v>
      </c>
      <c r="CW38" s="370">
        <v>1916860.96</v>
      </c>
      <c r="CX38" s="372">
        <v>1947095.36</v>
      </c>
      <c r="CY38" s="374">
        <v>0</v>
      </c>
      <c r="CZ38" s="375">
        <f t="shared" si="16"/>
        <v>6542724.1600000001</v>
      </c>
      <c r="DA38" s="370">
        <f t="shared" si="17"/>
        <v>0.54100000000000004</v>
      </c>
      <c r="DB38" s="370">
        <v>1360548</v>
      </c>
      <c r="DC38" s="370">
        <v>2195017.44</v>
      </c>
      <c r="DD38" s="372">
        <v>0</v>
      </c>
      <c r="DE38" s="374">
        <v>0</v>
      </c>
      <c r="DF38" s="375">
        <f t="shared" si="19"/>
        <v>3555565.44</v>
      </c>
      <c r="DG38" s="370">
        <f t="shared" si="20"/>
        <v>0.29399999999999998</v>
      </c>
      <c r="DH38" s="376">
        <f t="shared" si="21"/>
        <v>12093760</v>
      </c>
      <c r="DI38" s="376">
        <f t="shared" si="22"/>
        <v>10660649.439999999</v>
      </c>
      <c r="DJ38" s="370">
        <f t="shared" si="23"/>
        <v>1</v>
      </c>
      <c r="DK38" s="370"/>
      <c r="DL38" s="377">
        <f t="shared" si="24"/>
        <v>12093760</v>
      </c>
      <c r="DM38" s="370">
        <f t="shared" si="25"/>
        <v>12093760</v>
      </c>
      <c r="DN38" s="370">
        <f t="shared" si="26"/>
        <v>0</v>
      </c>
      <c r="DO38" s="370">
        <f t="shared" si="27"/>
        <v>0</v>
      </c>
      <c r="DP38" s="370">
        <f t="shared" si="28"/>
        <v>0</v>
      </c>
      <c r="DQ38" s="378">
        <f t="shared" si="29"/>
        <v>10660649.439999999</v>
      </c>
      <c r="DR38" s="370">
        <f t="shared" si="30"/>
        <v>0</v>
      </c>
      <c r="DS38" s="370">
        <f t="shared" si="31"/>
        <v>562359.84</v>
      </c>
      <c r="DT38" s="370">
        <f t="shared" si="32"/>
        <v>6542724.1600000001</v>
      </c>
      <c r="DU38" s="370">
        <f t="shared" si="33"/>
        <v>3555565.44</v>
      </c>
      <c r="DW38" s="370">
        <v>1916860.96</v>
      </c>
      <c r="DX38" s="372">
        <v>1947095.36</v>
      </c>
      <c r="DY38" s="300">
        <v>0</v>
      </c>
      <c r="DZ38" s="381">
        <f t="shared" si="34"/>
        <v>1088438.3999999999</v>
      </c>
      <c r="EA38" s="382">
        <f t="shared" si="35"/>
        <v>13182198.4</v>
      </c>
      <c r="EB38" s="608"/>
    </row>
    <row r="39" spans="1:132" ht="124.5" hidden="1" customHeight="1" thickTop="1" thickBot="1">
      <c r="A39" s="133">
        <v>1</v>
      </c>
      <c r="B39" s="411" t="s">
        <v>6</v>
      </c>
      <c r="C39" s="135" t="s">
        <v>304</v>
      </c>
      <c r="D39" s="135" t="s">
        <v>305</v>
      </c>
      <c r="E39" s="412" t="s">
        <v>114</v>
      </c>
      <c r="F39" s="347" t="s">
        <v>306</v>
      </c>
      <c r="G39" s="412" t="s">
        <v>418</v>
      </c>
      <c r="H39" s="347" t="s">
        <v>422</v>
      </c>
      <c r="I39" s="347" t="s">
        <v>819</v>
      </c>
      <c r="J39" s="76">
        <v>39</v>
      </c>
      <c r="K39" s="419" t="s">
        <v>424</v>
      </c>
      <c r="L39" s="347" t="s">
        <v>425</v>
      </c>
      <c r="M39" s="347" t="s">
        <v>820</v>
      </c>
      <c r="N39" s="349" t="s">
        <v>11</v>
      </c>
      <c r="O39" s="350">
        <v>19</v>
      </c>
      <c r="P39" s="39" t="s">
        <v>19</v>
      </c>
      <c r="Q39" s="32">
        <v>1905</v>
      </c>
      <c r="R39" s="32">
        <v>1905021</v>
      </c>
      <c r="S39" s="39" t="s">
        <v>44</v>
      </c>
      <c r="T39" s="39" t="s">
        <v>426</v>
      </c>
      <c r="U39" s="32">
        <v>190502100</v>
      </c>
      <c r="V39" s="40" t="s">
        <v>45</v>
      </c>
      <c r="W39" s="355" t="s">
        <v>316</v>
      </c>
      <c r="X39" s="355"/>
      <c r="Y39" s="355"/>
      <c r="Z39" s="355"/>
      <c r="AA39" s="355"/>
      <c r="AB39" s="355"/>
      <c r="AC39" s="355"/>
      <c r="AD39" s="355"/>
      <c r="AE39" s="355"/>
      <c r="AF39" s="355"/>
      <c r="AG39" s="355"/>
      <c r="AH39" s="356">
        <f t="shared" si="0"/>
        <v>0</v>
      </c>
      <c r="AI39" s="357" t="s">
        <v>193</v>
      </c>
      <c r="AJ39" s="80">
        <v>1</v>
      </c>
      <c r="AK39" s="80">
        <v>1</v>
      </c>
      <c r="AL39" s="80">
        <v>1</v>
      </c>
      <c r="AM39" s="80">
        <v>1</v>
      </c>
      <c r="AN39" s="80">
        <v>1</v>
      </c>
      <c r="AO39" s="358">
        <v>1</v>
      </c>
      <c r="AP39" s="33">
        <f t="shared" si="1"/>
        <v>3000</v>
      </c>
      <c r="AQ39" s="359" t="s">
        <v>316</v>
      </c>
      <c r="AR39" s="25">
        <v>0</v>
      </c>
      <c r="AS39" s="25">
        <v>500</v>
      </c>
      <c r="AT39" s="25">
        <v>1250</v>
      </c>
      <c r="AU39" s="25">
        <v>1250</v>
      </c>
      <c r="AV39" s="392" t="s">
        <v>779</v>
      </c>
      <c r="AW39" s="392" t="s">
        <v>740</v>
      </c>
      <c r="AX39" s="39" t="s">
        <v>821</v>
      </c>
      <c r="AY39" s="25">
        <v>378</v>
      </c>
      <c r="AZ39" s="39" t="s">
        <v>729</v>
      </c>
      <c r="BA39" s="40" t="s">
        <v>44</v>
      </c>
      <c r="BB39" s="360" t="s">
        <v>730</v>
      </c>
      <c r="BC39" s="361" t="s">
        <v>683</v>
      </c>
      <c r="BD39" s="40" t="s">
        <v>731</v>
      </c>
      <c r="BE39" s="391">
        <v>6449633.5999999996</v>
      </c>
      <c r="BF39" s="363" t="s">
        <v>771</v>
      </c>
      <c r="BG39" s="364" t="s">
        <v>822</v>
      </c>
      <c r="BH39" s="365" t="s">
        <v>823</v>
      </c>
      <c r="BI39" s="365"/>
      <c r="BJ39" s="26" t="s">
        <v>824</v>
      </c>
      <c r="BK39" s="26" t="s">
        <v>825</v>
      </c>
      <c r="BL39" s="359">
        <v>0</v>
      </c>
      <c r="BM39" s="359">
        <v>0</v>
      </c>
      <c r="BN39" s="359">
        <v>0</v>
      </c>
      <c r="BO39" s="366">
        <f t="shared" si="2"/>
        <v>0</v>
      </c>
      <c r="BP39" s="367">
        <f t="shared" si="3"/>
        <v>0</v>
      </c>
      <c r="BQ39" s="359">
        <v>0</v>
      </c>
      <c r="BR39" s="359">
        <v>207</v>
      </c>
      <c r="BS39" s="359">
        <v>995</v>
      </c>
      <c r="BT39" s="366">
        <f t="shared" si="4"/>
        <v>1202</v>
      </c>
      <c r="BU39" s="367">
        <f t="shared" si="5"/>
        <v>0.40066666666666667</v>
      </c>
      <c r="BV39" s="359">
        <v>688</v>
      </c>
      <c r="BW39" s="359">
        <v>443</v>
      </c>
      <c r="BX39" s="359">
        <v>311</v>
      </c>
      <c r="BY39" s="366">
        <f t="shared" si="6"/>
        <v>1442</v>
      </c>
      <c r="BZ39" s="367">
        <f t="shared" si="7"/>
        <v>0.48066666666666669</v>
      </c>
      <c r="CA39" s="359">
        <v>0</v>
      </c>
      <c r="CB39" s="359">
        <v>0</v>
      </c>
      <c r="CC39" s="359">
        <v>0</v>
      </c>
      <c r="CD39" s="366">
        <f t="shared" si="8"/>
        <v>0</v>
      </c>
      <c r="CE39" s="367">
        <f t="shared" si="9"/>
        <v>0</v>
      </c>
      <c r="CF39" s="368">
        <f t="shared" si="10"/>
        <v>2644</v>
      </c>
      <c r="CG39" s="359">
        <f t="shared" si="11"/>
        <v>0.8813333333333333</v>
      </c>
      <c r="CH39" s="369"/>
      <c r="CI39" s="369"/>
      <c r="CJ39" s="370">
        <v>0</v>
      </c>
      <c r="CK39" s="370">
        <v>0</v>
      </c>
      <c r="CL39" s="370">
        <v>0</v>
      </c>
      <c r="CM39" s="394">
        <v>6449633.5999999996</v>
      </c>
      <c r="CN39" s="374">
        <f t="shared" si="12"/>
        <v>0</v>
      </c>
      <c r="CO39" s="370">
        <f t="shared" si="13"/>
        <v>0</v>
      </c>
      <c r="CP39" s="370">
        <v>0</v>
      </c>
      <c r="CQ39" s="370">
        <v>0</v>
      </c>
      <c r="CR39" s="372">
        <v>445024.71840000001</v>
      </c>
      <c r="CS39" s="374">
        <v>0</v>
      </c>
      <c r="CT39" s="375">
        <f t="shared" si="14"/>
        <v>445024.71840000001</v>
      </c>
      <c r="CU39" s="370">
        <f t="shared" si="15"/>
        <v>6.9000000000000006E-2</v>
      </c>
      <c r="CV39" s="370">
        <v>2139128.4773333333</v>
      </c>
      <c r="CW39" s="370">
        <v>1479115.9722666666</v>
      </c>
      <c r="CX39" s="372">
        <v>952395.89493333339</v>
      </c>
      <c r="CY39" s="374">
        <v>0</v>
      </c>
      <c r="CZ39" s="375">
        <f t="shared" si="16"/>
        <v>4570640.3445333336</v>
      </c>
      <c r="DA39" s="370">
        <f t="shared" si="17"/>
        <v>0.70866666666666678</v>
      </c>
      <c r="DB39" s="370">
        <v>668612.01653333334</v>
      </c>
      <c r="DC39" s="370">
        <v>765356.5205333333</v>
      </c>
      <c r="DD39" s="372">
        <v>0</v>
      </c>
      <c r="DE39" s="374">
        <v>0</v>
      </c>
      <c r="DF39" s="375">
        <f t="shared" si="19"/>
        <v>1433968.5370666666</v>
      </c>
      <c r="DG39" s="370">
        <f t="shared" si="20"/>
        <v>0.22233333333333336</v>
      </c>
      <c r="DH39" s="376">
        <f t="shared" si="21"/>
        <v>6449633.5999999996</v>
      </c>
      <c r="DI39" s="376">
        <f t="shared" si="22"/>
        <v>6449633.5999999996</v>
      </c>
      <c r="DJ39" s="370">
        <f t="shared" si="23"/>
        <v>1</v>
      </c>
      <c r="DK39" s="370"/>
      <c r="DL39" s="377">
        <f t="shared" si="24"/>
        <v>6449633.5999999996</v>
      </c>
      <c r="DM39" s="370">
        <f t="shared" si="25"/>
        <v>6449633.5999999996</v>
      </c>
      <c r="DN39" s="370">
        <f t="shared" si="26"/>
        <v>0</v>
      </c>
      <c r="DO39" s="370">
        <f t="shared" si="27"/>
        <v>0</v>
      </c>
      <c r="DP39" s="370">
        <f t="shared" si="28"/>
        <v>0</v>
      </c>
      <c r="DQ39" s="378">
        <f t="shared" si="29"/>
        <v>6449633.5999999996</v>
      </c>
      <c r="DR39" s="370">
        <f t="shared" si="30"/>
        <v>0</v>
      </c>
      <c r="DS39" s="370">
        <f t="shared" si="31"/>
        <v>445024.71840000001</v>
      </c>
      <c r="DT39" s="370">
        <f t="shared" si="32"/>
        <v>4570640.3445333336</v>
      </c>
      <c r="DU39" s="370">
        <f t="shared" si="33"/>
        <v>1433968.5370666666</v>
      </c>
      <c r="DV39" s="370">
        <f>BE39-5684277.07946667</f>
        <v>765356.52053332981</v>
      </c>
      <c r="DW39" s="370">
        <v>1479115.9722666666</v>
      </c>
      <c r="DX39" s="372">
        <v>952395.89493333339</v>
      </c>
      <c r="DY39" s="300">
        <v>0</v>
      </c>
      <c r="DZ39" s="381">
        <f t="shared" si="34"/>
        <v>580467.02399999998</v>
      </c>
      <c r="EA39" s="382">
        <f t="shared" si="35"/>
        <v>7030100.6239999998</v>
      </c>
      <c r="EB39" s="608"/>
    </row>
    <row r="40" spans="1:132" ht="141.75" hidden="1" customHeight="1" thickTop="1" thickBot="1">
      <c r="A40" s="133">
        <v>1</v>
      </c>
      <c r="B40" s="411" t="s">
        <v>6</v>
      </c>
      <c r="C40" s="135" t="s">
        <v>304</v>
      </c>
      <c r="D40" s="135" t="s">
        <v>305</v>
      </c>
      <c r="E40" s="412" t="s">
        <v>114</v>
      </c>
      <c r="F40" s="347" t="s">
        <v>306</v>
      </c>
      <c r="G40" s="412" t="s">
        <v>418</v>
      </c>
      <c r="H40" s="347" t="s">
        <v>432</v>
      </c>
      <c r="I40" s="347" t="s">
        <v>829</v>
      </c>
      <c r="J40" s="32">
        <v>40</v>
      </c>
      <c r="K40" s="348" t="s">
        <v>434</v>
      </c>
      <c r="L40" s="40" t="s">
        <v>435</v>
      </c>
      <c r="M40" s="40" t="s">
        <v>820</v>
      </c>
      <c r="N40" s="349" t="s">
        <v>11</v>
      </c>
      <c r="O40" s="350">
        <v>19</v>
      </c>
      <c r="P40" s="39" t="s">
        <v>19</v>
      </c>
      <c r="Q40" s="32">
        <v>1905</v>
      </c>
      <c r="R40" s="32">
        <v>1905021</v>
      </c>
      <c r="S40" s="39" t="s">
        <v>44</v>
      </c>
      <c r="T40" s="39" t="s">
        <v>426</v>
      </c>
      <c r="U40" s="32">
        <v>190502100</v>
      </c>
      <c r="V40" s="40" t="s">
        <v>45</v>
      </c>
      <c r="W40" s="355" t="s">
        <v>316</v>
      </c>
      <c r="X40" s="385">
        <f>SUM(BE40:BE41)</f>
        <v>10233909.92</v>
      </c>
      <c r="Y40" s="355"/>
      <c r="Z40" s="355"/>
      <c r="AA40" s="355"/>
      <c r="AB40" s="355"/>
      <c r="AC40" s="355"/>
      <c r="AD40" s="355"/>
      <c r="AE40" s="355"/>
      <c r="AF40" s="355"/>
      <c r="AG40" s="355"/>
      <c r="AH40" s="356">
        <f t="shared" si="0"/>
        <v>10233909.92</v>
      </c>
      <c r="AI40" s="357" t="s">
        <v>194</v>
      </c>
      <c r="AJ40" s="80">
        <v>1</v>
      </c>
      <c r="AK40" s="80">
        <v>1</v>
      </c>
      <c r="AL40" s="80">
        <v>1</v>
      </c>
      <c r="AM40" s="80">
        <v>1</v>
      </c>
      <c r="AN40" s="80">
        <v>1</v>
      </c>
      <c r="AO40" s="358">
        <v>1</v>
      </c>
      <c r="AP40" s="33">
        <f t="shared" si="1"/>
        <v>6</v>
      </c>
      <c r="AQ40" s="359" t="s">
        <v>316</v>
      </c>
      <c r="AR40" s="25">
        <v>0</v>
      </c>
      <c r="AS40" s="25">
        <v>2</v>
      </c>
      <c r="AT40" s="25">
        <v>3</v>
      </c>
      <c r="AU40" s="25">
        <v>1</v>
      </c>
      <c r="AV40" s="392" t="s">
        <v>779</v>
      </c>
      <c r="AW40" s="392" t="s">
        <v>830</v>
      </c>
      <c r="AX40" s="39" t="s">
        <v>831</v>
      </c>
      <c r="AY40" s="25">
        <v>379</v>
      </c>
      <c r="AZ40" s="39" t="s">
        <v>729</v>
      </c>
      <c r="BA40" s="40" t="s">
        <v>44</v>
      </c>
      <c r="BB40" s="360" t="s">
        <v>730</v>
      </c>
      <c r="BC40" s="361" t="s">
        <v>683</v>
      </c>
      <c r="BD40" s="40" t="s">
        <v>731</v>
      </c>
      <c r="BE40" s="391">
        <v>3744081.12</v>
      </c>
      <c r="BF40" s="363" t="s">
        <v>771</v>
      </c>
      <c r="BG40" s="364" t="s">
        <v>832</v>
      </c>
      <c r="BH40" s="365" t="s">
        <v>833</v>
      </c>
      <c r="BI40" s="365"/>
      <c r="BJ40" s="26" t="s">
        <v>834</v>
      </c>
      <c r="BK40" s="26" t="s">
        <v>835</v>
      </c>
      <c r="BL40" s="359">
        <v>0</v>
      </c>
      <c r="BM40" s="359">
        <v>0</v>
      </c>
      <c r="BN40" s="359">
        <v>0</v>
      </c>
      <c r="BO40" s="366">
        <f t="shared" si="2"/>
        <v>0</v>
      </c>
      <c r="BP40" s="367">
        <f t="shared" si="3"/>
        <v>0</v>
      </c>
      <c r="BQ40" s="359">
        <v>0</v>
      </c>
      <c r="BR40" s="359">
        <v>1</v>
      </c>
      <c r="BS40" s="359">
        <v>3</v>
      </c>
      <c r="BT40" s="366">
        <f t="shared" si="4"/>
        <v>4</v>
      </c>
      <c r="BU40" s="367">
        <f t="shared" si="5"/>
        <v>0.66666666666666663</v>
      </c>
      <c r="BV40" s="359">
        <v>1</v>
      </c>
      <c r="BW40" s="359">
        <v>1</v>
      </c>
      <c r="BX40" s="359">
        <v>0</v>
      </c>
      <c r="BY40" s="366">
        <f t="shared" si="6"/>
        <v>2</v>
      </c>
      <c r="BZ40" s="367">
        <f t="shared" si="7"/>
        <v>0.33333333333333331</v>
      </c>
      <c r="CA40" s="359">
        <v>0</v>
      </c>
      <c r="CB40" s="359">
        <v>0</v>
      </c>
      <c r="CC40" s="359">
        <v>0</v>
      </c>
      <c r="CD40" s="366">
        <f t="shared" si="8"/>
        <v>0</v>
      </c>
      <c r="CE40" s="367">
        <f t="shared" si="9"/>
        <v>0</v>
      </c>
      <c r="CF40" s="368">
        <f t="shared" si="10"/>
        <v>6</v>
      </c>
      <c r="CG40" s="359">
        <f t="shared" si="11"/>
        <v>1</v>
      </c>
      <c r="CH40" s="369"/>
      <c r="CI40" s="369"/>
      <c r="CJ40" s="370">
        <v>0</v>
      </c>
      <c r="CK40" s="370">
        <v>0</v>
      </c>
      <c r="CL40" s="370">
        <v>0</v>
      </c>
      <c r="CM40" s="394">
        <v>3744081.12</v>
      </c>
      <c r="CN40" s="374">
        <f t="shared" si="12"/>
        <v>0</v>
      </c>
      <c r="CO40" s="370">
        <f t="shared" si="13"/>
        <v>0</v>
      </c>
      <c r="CP40" s="370">
        <v>0</v>
      </c>
      <c r="CQ40" s="370">
        <v>0</v>
      </c>
      <c r="CR40" s="372">
        <v>624013.52</v>
      </c>
      <c r="CS40" s="374">
        <v>0</v>
      </c>
      <c r="CT40" s="375">
        <f t="shared" si="14"/>
        <v>624013.52</v>
      </c>
      <c r="CU40" s="370">
        <f t="shared" si="15"/>
        <v>0.16666666666666666</v>
      </c>
      <c r="CV40" s="370">
        <v>1872040.56</v>
      </c>
      <c r="CW40" s="370">
        <v>624013.52</v>
      </c>
      <c r="CX40" s="372">
        <v>624013.52</v>
      </c>
      <c r="CY40" s="374">
        <v>0</v>
      </c>
      <c r="CZ40" s="375">
        <f t="shared" si="16"/>
        <v>3120067.6</v>
      </c>
      <c r="DA40" s="370">
        <f t="shared" si="17"/>
        <v>0.83333333333333337</v>
      </c>
      <c r="DB40" s="370">
        <v>0</v>
      </c>
      <c r="DC40" s="370">
        <v>0</v>
      </c>
      <c r="DD40" s="372">
        <v>0</v>
      </c>
      <c r="DE40" s="374">
        <v>0</v>
      </c>
      <c r="DF40" s="375">
        <f t="shared" si="19"/>
        <v>0</v>
      </c>
      <c r="DG40" s="370">
        <f t="shared" si="20"/>
        <v>0</v>
      </c>
      <c r="DH40" s="376">
        <f t="shared" si="21"/>
        <v>3744081.12</v>
      </c>
      <c r="DI40" s="376">
        <f t="shared" si="22"/>
        <v>3744081.12</v>
      </c>
      <c r="DJ40" s="370">
        <f t="shared" si="23"/>
        <v>1</v>
      </c>
      <c r="DK40" s="370"/>
      <c r="DL40" s="377">
        <f t="shared" si="24"/>
        <v>3744081.12</v>
      </c>
      <c r="DM40" s="370">
        <f t="shared" si="25"/>
        <v>3744081.12</v>
      </c>
      <c r="DN40" s="370">
        <f t="shared" si="26"/>
        <v>0</v>
      </c>
      <c r="DO40" s="370">
        <f t="shared" si="27"/>
        <v>0</v>
      </c>
      <c r="DP40" s="370">
        <f t="shared" si="28"/>
        <v>0</v>
      </c>
      <c r="DQ40" s="378">
        <f t="shared" si="29"/>
        <v>3744081.12</v>
      </c>
      <c r="DR40" s="370">
        <f t="shared" si="30"/>
        <v>0</v>
      </c>
      <c r="DS40" s="370">
        <f t="shared" si="31"/>
        <v>624013.52</v>
      </c>
      <c r="DT40" s="370">
        <f t="shared" si="32"/>
        <v>3120067.6</v>
      </c>
      <c r="DU40" s="370">
        <f t="shared" si="33"/>
        <v>0</v>
      </c>
      <c r="DW40" s="370">
        <v>624013.52</v>
      </c>
      <c r="DX40" s="372">
        <v>624013.52</v>
      </c>
      <c r="DY40" s="300">
        <v>0</v>
      </c>
      <c r="DZ40" s="381">
        <f t="shared" si="34"/>
        <v>336967.30080000003</v>
      </c>
      <c r="EA40" s="382">
        <f t="shared" si="35"/>
        <v>4081048.4208</v>
      </c>
      <c r="EB40" s="608"/>
    </row>
    <row r="41" spans="1:132" ht="109.5" hidden="1" customHeight="1" thickTop="1" thickBot="1">
      <c r="A41" s="133">
        <v>1</v>
      </c>
      <c r="B41" s="411" t="s">
        <v>6</v>
      </c>
      <c r="C41" s="135" t="s">
        <v>304</v>
      </c>
      <c r="D41" s="135" t="s">
        <v>305</v>
      </c>
      <c r="E41" s="412" t="s">
        <v>114</v>
      </c>
      <c r="F41" s="347" t="s">
        <v>306</v>
      </c>
      <c r="G41" s="412" t="s">
        <v>418</v>
      </c>
      <c r="H41" s="347" t="s">
        <v>432</v>
      </c>
      <c r="I41" s="347" t="s">
        <v>836</v>
      </c>
      <c r="J41" s="32">
        <v>40</v>
      </c>
      <c r="K41" s="348" t="s">
        <v>434</v>
      </c>
      <c r="L41" s="40" t="s">
        <v>435</v>
      </c>
      <c r="M41" s="40" t="s">
        <v>820</v>
      </c>
      <c r="N41" s="349" t="s">
        <v>11</v>
      </c>
      <c r="O41" s="350">
        <v>19</v>
      </c>
      <c r="P41" s="39" t="s">
        <v>19</v>
      </c>
      <c r="Q41" s="32">
        <v>1905</v>
      </c>
      <c r="R41" s="32">
        <v>1905021</v>
      </c>
      <c r="S41" s="39" t="s">
        <v>44</v>
      </c>
      <c r="T41" s="39" t="s">
        <v>426</v>
      </c>
      <c r="U41" s="32">
        <v>190502100</v>
      </c>
      <c r="V41" s="40" t="s">
        <v>45</v>
      </c>
      <c r="W41" s="355" t="s">
        <v>316</v>
      </c>
      <c r="X41" s="355"/>
      <c r="Y41" s="355"/>
      <c r="Z41" s="355"/>
      <c r="AA41" s="355"/>
      <c r="AB41" s="355"/>
      <c r="AC41" s="355"/>
      <c r="AD41" s="355"/>
      <c r="AE41" s="355"/>
      <c r="AF41" s="355"/>
      <c r="AG41" s="355"/>
      <c r="AH41" s="356">
        <f t="shared" si="0"/>
        <v>0</v>
      </c>
      <c r="AI41" s="397" t="s">
        <v>195</v>
      </c>
      <c r="AJ41" s="80">
        <v>1</v>
      </c>
      <c r="AK41" s="80">
        <v>1</v>
      </c>
      <c r="AL41" s="80">
        <v>1</v>
      </c>
      <c r="AM41" s="80">
        <v>1</v>
      </c>
      <c r="AN41" s="80">
        <v>1</v>
      </c>
      <c r="AO41" s="358">
        <v>1</v>
      </c>
      <c r="AP41" s="33">
        <f t="shared" si="1"/>
        <v>5</v>
      </c>
      <c r="AQ41" s="359" t="s">
        <v>316</v>
      </c>
      <c r="AR41" s="25">
        <v>0</v>
      </c>
      <c r="AS41" s="25">
        <v>1</v>
      </c>
      <c r="AT41" s="25">
        <v>3</v>
      </c>
      <c r="AU41" s="25">
        <v>1</v>
      </c>
      <c r="AV41" s="392" t="s">
        <v>779</v>
      </c>
      <c r="AW41" s="392" t="s">
        <v>769</v>
      </c>
      <c r="AX41" s="39" t="s">
        <v>831</v>
      </c>
      <c r="AY41" s="25">
        <v>379</v>
      </c>
      <c r="AZ41" s="39" t="s">
        <v>729</v>
      </c>
      <c r="BA41" s="40" t="s">
        <v>44</v>
      </c>
      <c r="BB41" s="360" t="s">
        <v>730</v>
      </c>
      <c r="BC41" s="361" t="s">
        <v>683</v>
      </c>
      <c r="BD41" s="40" t="s">
        <v>731</v>
      </c>
      <c r="BE41" s="391">
        <v>6489828.7999999998</v>
      </c>
      <c r="BF41" s="363" t="s">
        <v>771</v>
      </c>
      <c r="BG41" s="364" t="s">
        <v>832</v>
      </c>
      <c r="BH41" s="365" t="s">
        <v>833</v>
      </c>
      <c r="BI41" s="365"/>
      <c r="BJ41" s="26" t="s">
        <v>834</v>
      </c>
      <c r="BK41" s="26" t="s">
        <v>835</v>
      </c>
      <c r="BL41" s="359">
        <v>0</v>
      </c>
      <c r="BM41" s="359">
        <v>0</v>
      </c>
      <c r="BN41" s="359">
        <v>0</v>
      </c>
      <c r="BO41" s="366">
        <f t="shared" si="2"/>
        <v>0</v>
      </c>
      <c r="BP41" s="367">
        <f t="shared" si="3"/>
        <v>0</v>
      </c>
      <c r="BQ41" s="359">
        <v>0</v>
      </c>
      <c r="BR41" s="359">
        <v>1</v>
      </c>
      <c r="BS41" s="359">
        <v>1</v>
      </c>
      <c r="BT41" s="366">
        <f t="shared" si="4"/>
        <v>2</v>
      </c>
      <c r="BU41" s="367">
        <f t="shared" si="5"/>
        <v>0.4</v>
      </c>
      <c r="BV41" s="359">
        <v>1</v>
      </c>
      <c r="BW41" s="359">
        <v>1</v>
      </c>
      <c r="BX41" s="359">
        <v>1</v>
      </c>
      <c r="BY41" s="366">
        <f t="shared" si="6"/>
        <v>3</v>
      </c>
      <c r="BZ41" s="367">
        <f t="shared" si="7"/>
        <v>0.6</v>
      </c>
      <c r="CA41" s="359">
        <v>0</v>
      </c>
      <c r="CB41" s="359">
        <v>0</v>
      </c>
      <c r="CC41" s="359">
        <v>0</v>
      </c>
      <c r="CD41" s="366">
        <f t="shared" si="8"/>
        <v>0</v>
      </c>
      <c r="CE41" s="367">
        <f t="shared" si="9"/>
        <v>0</v>
      </c>
      <c r="CF41" s="368">
        <f t="shared" si="10"/>
        <v>5</v>
      </c>
      <c r="CG41" s="359">
        <f t="shared" si="11"/>
        <v>1</v>
      </c>
      <c r="CH41" s="369"/>
      <c r="CI41" s="369"/>
      <c r="CJ41" s="370">
        <v>0</v>
      </c>
      <c r="CK41" s="370">
        <v>0</v>
      </c>
      <c r="CL41" s="370">
        <v>0</v>
      </c>
      <c r="CM41" s="394">
        <v>6489828.7999999998</v>
      </c>
      <c r="CN41" s="374">
        <f t="shared" si="12"/>
        <v>0</v>
      </c>
      <c r="CO41" s="370">
        <f t="shared" si="13"/>
        <v>0</v>
      </c>
      <c r="CP41" s="370">
        <v>0</v>
      </c>
      <c r="CQ41" s="370">
        <v>0</v>
      </c>
      <c r="CR41" s="372">
        <v>1297965.76</v>
      </c>
      <c r="CS41" s="374">
        <v>0</v>
      </c>
      <c r="CT41" s="375">
        <f t="shared" si="14"/>
        <v>1297965.76</v>
      </c>
      <c r="CU41" s="370">
        <f t="shared" si="15"/>
        <v>0.2</v>
      </c>
      <c r="CV41" s="370">
        <v>1297965.76</v>
      </c>
      <c r="CW41" s="370">
        <v>1297965.77</v>
      </c>
      <c r="CX41" s="372">
        <v>1297965.77</v>
      </c>
      <c r="CY41" s="374">
        <v>0</v>
      </c>
      <c r="CZ41" s="375">
        <f t="shared" si="16"/>
        <v>3893897.3000000003</v>
      </c>
      <c r="DA41" s="370">
        <f t="shared" si="17"/>
        <v>0.6000000030817455</v>
      </c>
      <c r="DB41" s="370">
        <v>1297965.74</v>
      </c>
      <c r="DC41" s="370">
        <v>0</v>
      </c>
      <c r="DD41" s="372">
        <v>0</v>
      </c>
      <c r="DE41" s="374">
        <v>0</v>
      </c>
      <c r="DF41" s="375">
        <f t="shared" si="19"/>
        <v>1297965.74</v>
      </c>
      <c r="DG41" s="370">
        <f t="shared" si="20"/>
        <v>0.19999999691825462</v>
      </c>
      <c r="DH41" s="376">
        <f t="shared" si="21"/>
        <v>6489828.7999999998</v>
      </c>
      <c r="DI41" s="376">
        <f t="shared" si="22"/>
        <v>6489828.8000000007</v>
      </c>
      <c r="DJ41" s="370">
        <f t="shared" si="23"/>
        <v>1</v>
      </c>
      <c r="DK41" s="370"/>
      <c r="DL41" s="377">
        <f t="shared" si="24"/>
        <v>6489828.7999999998</v>
      </c>
      <c r="DM41" s="370">
        <f t="shared" si="25"/>
        <v>6489828.7999999998</v>
      </c>
      <c r="DN41" s="370">
        <f t="shared" si="26"/>
        <v>0</v>
      </c>
      <c r="DO41" s="370">
        <f t="shared" si="27"/>
        <v>0</v>
      </c>
      <c r="DP41" s="370">
        <f t="shared" si="28"/>
        <v>0</v>
      </c>
      <c r="DQ41" s="378">
        <f t="shared" si="29"/>
        <v>6489828.8000000007</v>
      </c>
      <c r="DR41" s="370">
        <f t="shared" si="30"/>
        <v>0</v>
      </c>
      <c r="DS41" s="370">
        <f t="shared" si="31"/>
        <v>1297965.76</v>
      </c>
      <c r="DT41" s="370">
        <f t="shared" si="32"/>
        <v>3893897.3000000003</v>
      </c>
      <c r="DU41" s="370">
        <f t="shared" si="33"/>
        <v>1297965.74</v>
      </c>
      <c r="DW41" s="370">
        <v>1297965.77</v>
      </c>
      <c r="DX41" s="372">
        <v>1297965.77</v>
      </c>
      <c r="DY41" s="300">
        <v>0</v>
      </c>
      <c r="DZ41" s="381">
        <f t="shared" si="34"/>
        <v>584084.59199999995</v>
      </c>
      <c r="EA41" s="382">
        <f t="shared" si="35"/>
        <v>7073913.392</v>
      </c>
      <c r="EB41" s="608"/>
    </row>
    <row r="42" spans="1:132" ht="128.25" hidden="1" customHeight="1" thickTop="1" thickBot="1">
      <c r="A42" s="133">
        <v>1</v>
      </c>
      <c r="B42" s="411" t="s">
        <v>6</v>
      </c>
      <c r="C42" s="135" t="s">
        <v>304</v>
      </c>
      <c r="D42" s="135" t="s">
        <v>305</v>
      </c>
      <c r="E42" s="412" t="s">
        <v>114</v>
      </c>
      <c r="F42" s="347" t="s">
        <v>306</v>
      </c>
      <c r="G42" s="412" t="s">
        <v>418</v>
      </c>
      <c r="H42" s="347" t="s">
        <v>432</v>
      </c>
      <c r="I42" s="347" t="s">
        <v>836</v>
      </c>
      <c r="J42" s="32">
        <v>41</v>
      </c>
      <c r="K42" s="348" t="s">
        <v>439</v>
      </c>
      <c r="L42" s="348" t="s">
        <v>440</v>
      </c>
      <c r="M42" s="348" t="s">
        <v>820</v>
      </c>
      <c r="N42" s="349" t="s">
        <v>11</v>
      </c>
      <c r="O42" s="350">
        <v>19</v>
      </c>
      <c r="P42" s="392" t="s">
        <v>19</v>
      </c>
      <c r="Q42" s="2">
        <v>1905</v>
      </c>
      <c r="R42" s="351">
        <v>1905021</v>
      </c>
      <c r="S42" s="352" t="s">
        <v>44</v>
      </c>
      <c r="T42" s="383" t="s">
        <v>426</v>
      </c>
      <c r="U42" s="351">
        <v>190502100</v>
      </c>
      <c r="V42" s="354" t="s">
        <v>45</v>
      </c>
      <c r="W42" s="355" t="s">
        <v>316</v>
      </c>
      <c r="X42" s="385">
        <f>BE42</f>
        <v>8157760</v>
      </c>
      <c r="Y42" s="355"/>
      <c r="Z42" s="355"/>
      <c r="AA42" s="355"/>
      <c r="AB42" s="355"/>
      <c r="AC42" s="355"/>
      <c r="AD42" s="355"/>
      <c r="AE42" s="355"/>
      <c r="AF42" s="355"/>
      <c r="AG42" s="355"/>
      <c r="AH42" s="356">
        <f t="shared" si="0"/>
        <v>8157760</v>
      </c>
      <c r="AI42" s="357" t="s">
        <v>196</v>
      </c>
      <c r="AJ42" s="80">
        <v>1</v>
      </c>
      <c r="AK42" s="80">
        <v>1</v>
      </c>
      <c r="AL42" s="80">
        <v>1</v>
      </c>
      <c r="AM42" s="80">
        <v>1</v>
      </c>
      <c r="AN42" s="80">
        <v>1</v>
      </c>
      <c r="AO42" s="358">
        <v>1</v>
      </c>
      <c r="AP42" s="33">
        <f t="shared" si="1"/>
        <v>32</v>
      </c>
      <c r="AQ42" s="359" t="s">
        <v>316</v>
      </c>
      <c r="AR42" s="25">
        <v>0</v>
      </c>
      <c r="AS42" s="25">
        <v>8</v>
      </c>
      <c r="AT42" s="25">
        <v>18</v>
      </c>
      <c r="AU42" s="25">
        <v>6</v>
      </c>
      <c r="AV42" s="392" t="s">
        <v>739</v>
      </c>
      <c r="AW42" s="392" t="s">
        <v>830</v>
      </c>
      <c r="AX42" s="39" t="s">
        <v>837</v>
      </c>
      <c r="AY42" s="25">
        <v>380</v>
      </c>
      <c r="AZ42" s="39" t="s">
        <v>729</v>
      </c>
      <c r="BA42" s="40" t="s">
        <v>44</v>
      </c>
      <c r="BB42" s="360" t="s">
        <v>730</v>
      </c>
      <c r="BC42" s="361" t="s">
        <v>683</v>
      </c>
      <c r="BD42" s="40" t="s">
        <v>731</v>
      </c>
      <c r="BE42" s="391">
        <v>8157760</v>
      </c>
      <c r="BF42" s="363" t="s">
        <v>771</v>
      </c>
      <c r="BG42" s="364" t="s">
        <v>832</v>
      </c>
      <c r="BH42" s="365" t="s">
        <v>833</v>
      </c>
      <c r="BI42" s="365"/>
      <c r="BJ42" s="26" t="s">
        <v>834</v>
      </c>
      <c r="BK42" s="26" t="s">
        <v>835</v>
      </c>
      <c r="BL42" s="359">
        <v>0</v>
      </c>
      <c r="BM42" s="359">
        <v>0</v>
      </c>
      <c r="BN42" s="359">
        <v>0</v>
      </c>
      <c r="BO42" s="366">
        <f t="shared" si="2"/>
        <v>0</v>
      </c>
      <c r="BP42" s="367">
        <f t="shared" si="3"/>
        <v>0</v>
      </c>
      <c r="BQ42" s="359">
        <v>0</v>
      </c>
      <c r="BR42" s="359">
        <v>0</v>
      </c>
      <c r="BS42" s="359">
        <v>0</v>
      </c>
      <c r="BT42" s="366">
        <f t="shared" si="4"/>
        <v>0</v>
      </c>
      <c r="BU42" s="367">
        <f t="shared" si="5"/>
        <v>0</v>
      </c>
      <c r="BV42" s="359">
        <v>12</v>
      </c>
      <c r="BW42" s="359">
        <v>9</v>
      </c>
      <c r="BX42" s="359">
        <v>7</v>
      </c>
      <c r="BY42" s="366">
        <f t="shared" si="6"/>
        <v>28</v>
      </c>
      <c r="BZ42" s="367">
        <f t="shared" si="7"/>
        <v>0.875</v>
      </c>
      <c r="CA42" s="359">
        <v>0</v>
      </c>
      <c r="CB42" s="359">
        <v>0</v>
      </c>
      <c r="CC42" s="359">
        <v>0</v>
      </c>
      <c r="CD42" s="366">
        <f t="shared" si="8"/>
        <v>0</v>
      </c>
      <c r="CE42" s="367">
        <f t="shared" si="9"/>
        <v>0</v>
      </c>
      <c r="CF42" s="368">
        <f t="shared" si="10"/>
        <v>28</v>
      </c>
      <c r="CG42" s="359">
        <f t="shared" si="11"/>
        <v>0.875</v>
      </c>
      <c r="CH42" s="369"/>
      <c r="CI42" s="369"/>
      <c r="CJ42" s="370">
        <v>0</v>
      </c>
      <c r="CK42" s="370">
        <v>0</v>
      </c>
      <c r="CL42" s="370">
        <v>0</v>
      </c>
      <c r="CM42" s="394">
        <v>8157760</v>
      </c>
      <c r="CN42" s="374">
        <f t="shared" si="12"/>
        <v>0</v>
      </c>
      <c r="CO42" s="370">
        <f t="shared" si="13"/>
        <v>0</v>
      </c>
      <c r="CP42" s="370">
        <v>0</v>
      </c>
      <c r="CQ42" s="370">
        <v>0</v>
      </c>
      <c r="CR42" s="372">
        <v>0</v>
      </c>
      <c r="CS42" s="374">
        <v>0</v>
      </c>
      <c r="CT42" s="375">
        <f t="shared" si="14"/>
        <v>0</v>
      </c>
      <c r="CU42" s="370">
        <f t="shared" si="15"/>
        <v>0</v>
      </c>
      <c r="CV42" s="370">
        <v>1019720</v>
      </c>
      <c r="CW42" s="370">
        <v>3059160</v>
      </c>
      <c r="CX42" s="372">
        <v>2294370</v>
      </c>
      <c r="CY42" s="374">
        <v>0</v>
      </c>
      <c r="CZ42" s="375">
        <f t="shared" si="16"/>
        <v>6373250</v>
      </c>
      <c r="DA42" s="370">
        <f t="shared" si="17"/>
        <v>0.78125</v>
      </c>
      <c r="DB42" s="370">
        <v>1784510</v>
      </c>
      <c r="DC42" s="370">
        <v>0</v>
      </c>
      <c r="DD42" s="372">
        <v>0</v>
      </c>
      <c r="DE42" s="374">
        <v>0</v>
      </c>
      <c r="DF42" s="375">
        <f t="shared" si="19"/>
        <v>1784510</v>
      </c>
      <c r="DG42" s="370">
        <f t="shared" si="20"/>
        <v>0.21875</v>
      </c>
      <c r="DH42" s="376">
        <f t="shared" si="21"/>
        <v>8157760</v>
      </c>
      <c r="DI42" s="376">
        <f t="shared" si="22"/>
        <v>8157760</v>
      </c>
      <c r="DJ42" s="370">
        <f t="shared" si="23"/>
        <v>1</v>
      </c>
      <c r="DK42" s="370"/>
      <c r="DL42" s="377">
        <f t="shared" si="24"/>
        <v>8157760</v>
      </c>
      <c r="DM42" s="370">
        <f t="shared" si="25"/>
        <v>8157760</v>
      </c>
      <c r="DN42" s="370">
        <f t="shared" si="26"/>
        <v>0</v>
      </c>
      <c r="DO42" s="370">
        <f t="shared" si="27"/>
        <v>0</v>
      </c>
      <c r="DP42" s="370">
        <f t="shared" si="28"/>
        <v>0</v>
      </c>
      <c r="DQ42" s="378">
        <f t="shared" si="29"/>
        <v>8157760</v>
      </c>
      <c r="DR42" s="370">
        <f t="shared" si="30"/>
        <v>0</v>
      </c>
      <c r="DS42" s="370">
        <f t="shared" si="31"/>
        <v>0</v>
      </c>
      <c r="DT42" s="370">
        <f t="shared" si="32"/>
        <v>6373250</v>
      </c>
      <c r="DU42" s="370">
        <f t="shared" si="33"/>
        <v>1784510</v>
      </c>
      <c r="DW42" s="370">
        <v>3059160</v>
      </c>
      <c r="DX42" s="372">
        <v>2294370</v>
      </c>
      <c r="DY42" s="300">
        <v>0</v>
      </c>
      <c r="DZ42" s="381">
        <f t="shared" si="34"/>
        <v>734198.4</v>
      </c>
      <c r="EA42" s="382">
        <f t="shared" si="35"/>
        <v>8891958.4000000004</v>
      </c>
      <c r="EB42" s="608"/>
    </row>
    <row r="43" spans="1:132" ht="117.75" hidden="1" customHeight="1" thickTop="1" thickBot="1">
      <c r="A43" s="133">
        <v>1</v>
      </c>
      <c r="B43" s="411" t="s">
        <v>6</v>
      </c>
      <c r="C43" s="135" t="s">
        <v>304</v>
      </c>
      <c r="D43" s="135" t="s">
        <v>305</v>
      </c>
      <c r="E43" s="412" t="s">
        <v>114</v>
      </c>
      <c r="F43" s="347" t="s">
        <v>306</v>
      </c>
      <c r="G43" s="412" t="s">
        <v>442</v>
      </c>
      <c r="H43" s="32" t="s">
        <v>446</v>
      </c>
      <c r="I43" s="32" t="s">
        <v>838</v>
      </c>
      <c r="J43" s="32">
        <v>42</v>
      </c>
      <c r="K43" s="348" t="s">
        <v>448</v>
      </c>
      <c r="L43" s="40" t="s">
        <v>449</v>
      </c>
      <c r="M43" s="40" t="s">
        <v>839</v>
      </c>
      <c r="N43" s="349" t="s">
        <v>11</v>
      </c>
      <c r="O43" s="350">
        <v>19</v>
      </c>
      <c r="P43" s="392" t="s">
        <v>19</v>
      </c>
      <c r="Q43" s="2">
        <v>1905</v>
      </c>
      <c r="R43" s="32">
        <v>1905026</v>
      </c>
      <c r="S43" s="39" t="s">
        <v>47</v>
      </c>
      <c r="T43" s="39" t="s">
        <v>450</v>
      </c>
      <c r="U43" s="32">
        <v>190502600</v>
      </c>
      <c r="V43" s="40" t="s">
        <v>48</v>
      </c>
      <c r="W43" s="355" t="s">
        <v>316</v>
      </c>
      <c r="X43" s="385">
        <f>SUM(BE43:BE46)+SUM(BE47:BE48)</f>
        <v>76857459.537999988</v>
      </c>
      <c r="Y43" s="355"/>
      <c r="Z43" s="355"/>
      <c r="AA43" s="355"/>
      <c r="AB43" s="355"/>
      <c r="AC43" s="385" t="e">
        <f>#REF!</f>
        <v>#REF!</v>
      </c>
      <c r="AD43" s="355"/>
      <c r="AE43" s="355"/>
      <c r="AF43" s="355"/>
      <c r="AG43" s="355"/>
      <c r="AH43" s="356" t="e">
        <f t="shared" si="0"/>
        <v>#REF!</v>
      </c>
      <c r="AI43" s="357" t="s">
        <v>199</v>
      </c>
      <c r="AJ43" s="80">
        <v>1</v>
      </c>
      <c r="AK43" s="80">
        <v>1</v>
      </c>
      <c r="AL43" s="80">
        <v>1</v>
      </c>
      <c r="AM43" s="80">
        <v>1</v>
      </c>
      <c r="AN43" s="80">
        <v>1</v>
      </c>
      <c r="AO43" s="358">
        <v>1</v>
      </c>
      <c r="AP43" s="33">
        <f t="shared" si="1"/>
        <v>2000</v>
      </c>
      <c r="AQ43" s="359" t="s">
        <v>316</v>
      </c>
      <c r="AR43" s="25">
        <v>0</v>
      </c>
      <c r="AS43" s="25">
        <v>400</v>
      </c>
      <c r="AT43" s="25">
        <v>800</v>
      </c>
      <c r="AU43" s="25">
        <v>800</v>
      </c>
      <c r="AV43" s="392" t="s">
        <v>779</v>
      </c>
      <c r="AW43" s="392" t="s">
        <v>740</v>
      </c>
      <c r="AX43" s="39" t="s">
        <v>840</v>
      </c>
      <c r="AY43" s="25">
        <v>388</v>
      </c>
      <c r="AZ43" s="39" t="s">
        <v>729</v>
      </c>
      <c r="BA43" s="40" t="s">
        <v>47</v>
      </c>
      <c r="BB43" s="360" t="s">
        <v>730</v>
      </c>
      <c r="BC43" s="361" t="s">
        <v>683</v>
      </c>
      <c r="BD43" s="40" t="s">
        <v>731</v>
      </c>
      <c r="BE43" s="421">
        <v>12093760</v>
      </c>
      <c r="BF43" s="363" t="s">
        <v>771</v>
      </c>
      <c r="BG43" s="364" t="s">
        <v>841</v>
      </c>
      <c r="BH43" s="365" t="s">
        <v>842</v>
      </c>
      <c r="BI43" s="365"/>
      <c r="BJ43" s="26" t="s">
        <v>843</v>
      </c>
      <c r="BK43" s="26" t="s">
        <v>844</v>
      </c>
      <c r="BL43" s="359">
        <v>0</v>
      </c>
      <c r="BM43" s="359">
        <v>0</v>
      </c>
      <c r="BN43" s="359">
        <v>0</v>
      </c>
      <c r="BO43" s="366">
        <f t="shared" si="2"/>
        <v>0</v>
      </c>
      <c r="BP43" s="367">
        <f t="shared" si="3"/>
        <v>0</v>
      </c>
      <c r="BQ43" s="359">
        <v>0</v>
      </c>
      <c r="BR43" s="359">
        <v>55</v>
      </c>
      <c r="BS43" s="359">
        <v>338</v>
      </c>
      <c r="BT43" s="366">
        <f t="shared" si="4"/>
        <v>393</v>
      </c>
      <c r="BU43" s="367">
        <f t="shared" si="5"/>
        <v>0.19650000000000001</v>
      </c>
      <c r="BV43" s="359">
        <v>359</v>
      </c>
      <c r="BW43" s="359">
        <v>326</v>
      </c>
      <c r="BX43" s="359">
        <v>321</v>
      </c>
      <c r="BY43" s="366">
        <f t="shared" si="6"/>
        <v>1006</v>
      </c>
      <c r="BZ43" s="367">
        <f t="shared" si="7"/>
        <v>0.503</v>
      </c>
      <c r="CA43" s="359">
        <v>0</v>
      </c>
      <c r="CB43" s="359">
        <v>0</v>
      </c>
      <c r="CC43" s="359">
        <v>0</v>
      </c>
      <c r="CD43" s="366">
        <f t="shared" si="8"/>
        <v>0</v>
      </c>
      <c r="CE43" s="367">
        <f t="shared" si="9"/>
        <v>0</v>
      </c>
      <c r="CF43" s="368">
        <f t="shared" si="10"/>
        <v>1399</v>
      </c>
      <c r="CG43" s="359">
        <f t="shared" si="11"/>
        <v>0.69950000000000001</v>
      </c>
      <c r="CH43" s="369"/>
      <c r="CI43" s="369"/>
      <c r="CJ43" s="370">
        <v>0</v>
      </c>
      <c r="CK43" s="370">
        <v>0</v>
      </c>
      <c r="CL43" s="370">
        <v>0</v>
      </c>
      <c r="CM43" s="375">
        <v>12093760</v>
      </c>
      <c r="CN43" s="374">
        <f t="shared" si="12"/>
        <v>0</v>
      </c>
      <c r="CO43" s="370">
        <f t="shared" si="13"/>
        <v>0</v>
      </c>
      <c r="CP43" s="370">
        <v>0</v>
      </c>
      <c r="CQ43" s="370">
        <v>0</v>
      </c>
      <c r="CR43" s="372">
        <v>332578.40000000002</v>
      </c>
      <c r="CS43" s="374">
        <v>0</v>
      </c>
      <c r="CT43" s="375">
        <f t="shared" si="14"/>
        <v>332578.40000000002</v>
      </c>
      <c r="CU43" s="370">
        <f t="shared" si="15"/>
        <v>2.7500000000000004E-2</v>
      </c>
      <c r="CV43" s="370">
        <v>2043845.44</v>
      </c>
      <c r="CW43" s="370">
        <v>2170829.92</v>
      </c>
      <c r="CX43" s="372">
        <v>1971282.8800000001</v>
      </c>
      <c r="CY43" s="374">
        <v>0</v>
      </c>
      <c r="CZ43" s="375">
        <f t="shared" si="16"/>
        <v>6185958.2399999993</v>
      </c>
      <c r="DA43" s="370">
        <f t="shared" si="17"/>
        <v>0.51149999999999995</v>
      </c>
      <c r="DB43" s="370">
        <v>1941048.48</v>
      </c>
      <c r="DC43" s="370">
        <v>2116408</v>
      </c>
      <c r="DD43" s="372">
        <v>0</v>
      </c>
      <c r="DE43" s="374">
        <v>0</v>
      </c>
      <c r="DF43" s="375">
        <f t="shared" si="19"/>
        <v>4057456.48</v>
      </c>
      <c r="DG43" s="370">
        <f t="shared" si="20"/>
        <v>0.33550000000000002</v>
      </c>
      <c r="DH43" s="376">
        <f t="shared" si="21"/>
        <v>12093760</v>
      </c>
      <c r="DI43" s="376">
        <f t="shared" si="22"/>
        <v>10575993.119999999</v>
      </c>
      <c r="DJ43" s="370">
        <f t="shared" si="23"/>
        <v>1</v>
      </c>
      <c r="DK43" s="370"/>
      <c r="DL43" s="377">
        <f t="shared" si="24"/>
        <v>12093760</v>
      </c>
      <c r="DM43" s="370">
        <f t="shared" si="25"/>
        <v>12093760</v>
      </c>
      <c r="DN43" s="370">
        <f t="shared" si="26"/>
        <v>0</v>
      </c>
      <c r="DO43" s="370">
        <f t="shared" si="27"/>
        <v>0</v>
      </c>
      <c r="DP43" s="370">
        <f t="shared" si="28"/>
        <v>0</v>
      </c>
      <c r="DQ43" s="378">
        <f t="shared" si="29"/>
        <v>10575993.119999999</v>
      </c>
      <c r="DR43" s="370">
        <f t="shared" si="30"/>
        <v>0</v>
      </c>
      <c r="DS43" s="370">
        <f t="shared" si="31"/>
        <v>332578.40000000002</v>
      </c>
      <c r="DT43" s="370">
        <f t="shared" si="32"/>
        <v>6185958.2399999993</v>
      </c>
      <c r="DU43" s="370">
        <f t="shared" si="33"/>
        <v>4057456.48</v>
      </c>
      <c r="DW43" s="370">
        <v>2170829.92</v>
      </c>
      <c r="DX43" s="372">
        <v>1971282.8800000001</v>
      </c>
      <c r="DY43" s="300">
        <v>0</v>
      </c>
      <c r="DZ43" s="381">
        <f t="shared" si="34"/>
        <v>1088438.3999999999</v>
      </c>
      <c r="EA43" s="382">
        <f t="shared" si="35"/>
        <v>13182198.4</v>
      </c>
      <c r="EB43" s="608"/>
    </row>
    <row r="44" spans="1:132" ht="174.75" hidden="1" customHeight="1" thickTop="1" thickBot="1">
      <c r="A44" s="133">
        <v>1</v>
      </c>
      <c r="B44" s="411" t="s">
        <v>6</v>
      </c>
      <c r="C44" s="135" t="s">
        <v>304</v>
      </c>
      <c r="D44" s="135" t="s">
        <v>305</v>
      </c>
      <c r="E44" s="412" t="s">
        <v>114</v>
      </c>
      <c r="F44" s="347" t="s">
        <v>306</v>
      </c>
      <c r="G44" s="412" t="s">
        <v>442</v>
      </c>
      <c r="H44" s="32" t="s">
        <v>446</v>
      </c>
      <c r="I44" s="32" t="s">
        <v>838</v>
      </c>
      <c r="J44" s="32">
        <v>42</v>
      </c>
      <c r="K44" s="348" t="s">
        <v>448</v>
      </c>
      <c r="L44" s="40" t="s">
        <v>449</v>
      </c>
      <c r="M44" s="40" t="s">
        <v>839</v>
      </c>
      <c r="N44" s="349" t="s">
        <v>11</v>
      </c>
      <c r="O44" s="350">
        <v>19</v>
      </c>
      <c r="P44" s="392" t="s">
        <v>19</v>
      </c>
      <c r="Q44" s="2">
        <v>1905</v>
      </c>
      <c r="R44" s="32">
        <v>1905026</v>
      </c>
      <c r="S44" s="39" t="s">
        <v>47</v>
      </c>
      <c r="T44" s="39" t="s">
        <v>450</v>
      </c>
      <c r="U44" s="32">
        <v>190502600</v>
      </c>
      <c r="V44" s="40" t="s">
        <v>48</v>
      </c>
      <c r="W44" s="355" t="s">
        <v>316</v>
      </c>
      <c r="X44" s="355"/>
      <c r="Y44" s="355"/>
      <c r="Z44" s="355"/>
      <c r="AA44" s="355"/>
      <c r="AB44" s="355"/>
      <c r="AC44" s="355"/>
      <c r="AD44" s="355"/>
      <c r="AE44" s="355"/>
      <c r="AF44" s="355"/>
      <c r="AG44" s="355"/>
      <c r="AH44" s="356">
        <f t="shared" si="0"/>
        <v>0</v>
      </c>
      <c r="AI44" s="357" t="s">
        <v>200</v>
      </c>
      <c r="AJ44" s="80">
        <v>1</v>
      </c>
      <c r="AK44" s="80">
        <v>1</v>
      </c>
      <c r="AL44" s="80">
        <v>1</v>
      </c>
      <c r="AM44" s="80">
        <v>1</v>
      </c>
      <c r="AN44" s="80">
        <v>1</v>
      </c>
      <c r="AO44" s="358">
        <v>1</v>
      </c>
      <c r="AP44" s="33">
        <f t="shared" si="1"/>
        <v>12</v>
      </c>
      <c r="AQ44" s="359" t="s">
        <v>316</v>
      </c>
      <c r="AR44" s="25">
        <v>0</v>
      </c>
      <c r="AS44" s="25">
        <v>3</v>
      </c>
      <c r="AT44" s="25">
        <v>5</v>
      </c>
      <c r="AU44" s="25">
        <v>4</v>
      </c>
      <c r="AV44" s="392" t="s">
        <v>779</v>
      </c>
      <c r="AW44" s="392" t="s">
        <v>769</v>
      </c>
      <c r="AX44" s="39" t="s">
        <v>840</v>
      </c>
      <c r="AY44" s="25">
        <v>388</v>
      </c>
      <c r="AZ44" s="39" t="s">
        <v>729</v>
      </c>
      <c r="BA44" s="40" t="s">
        <v>47</v>
      </c>
      <c r="BB44" s="360" t="s">
        <v>730</v>
      </c>
      <c r="BC44" s="361" t="s">
        <v>683</v>
      </c>
      <c r="BD44" s="40" t="s">
        <v>731</v>
      </c>
      <c r="BE44" s="391">
        <v>8136709.2479999997</v>
      </c>
      <c r="BF44" s="363" t="s">
        <v>771</v>
      </c>
      <c r="BG44" s="364" t="s">
        <v>841</v>
      </c>
      <c r="BH44" s="365" t="s">
        <v>842</v>
      </c>
      <c r="BI44" s="365"/>
      <c r="BJ44" s="26" t="s">
        <v>843</v>
      </c>
      <c r="BK44" s="26" t="s">
        <v>844</v>
      </c>
      <c r="BL44" s="359">
        <v>0</v>
      </c>
      <c r="BM44" s="359">
        <v>0</v>
      </c>
      <c r="BN44" s="359">
        <v>0</v>
      </c>
      <c r="BO44" s="366">
        <f t="shared" si="2"/>
        <v>0</v>
      </c>
      <c r="BP44" s="367">
        <f t="shared" si="3"/>
        <v>0</v>
      </c>
      <c r="BQ44" s="359">
        <v>0</v>
      </c>
      <c r="BR44" s="359">
        <v>2</v>
      </c>
      <c r="BS44" s="359">
        <v>2</v>
      </c>
      <c r="BT44" s="366">
        <f t="shared" si="4"/>
        <v>4</v>
      </c>
      <c r="BU44" s="367">
        <f t="shared" si="5"/>
        <v>0.33333333333333331</v>
      </c>
      <c r="BV44" s="359">
        <v>2</v>
      </c>
      <c r="BW44" s="359">
        <v>2</v>
      </c>
      <c r="BX44" s="359">
        <v>2</v>
      </c>
      <c r="BY44" s="366">
        <f t="shared" si="6"/>
        <v>6</v>
      </c>
      <c r="BZ44" s="367">
        <f t="shared" si="7"/>
        <v>0.5</v>
      </c>
      <c r="CA44" s="359">
        <v>0</v>
      </c>
      <c r="CB44" s="359">
        <v>0</v>
      </c>
      <c r="CC44" s="359">
        <v>0</v>
      </c>
      <c r="CD44" s="366">
        <f t="shared" si="8"/>
        <v>0</v>
      </c>
      <c r="CE44" s="367">
        <f t="shared" si="9"/>
        <v>0</v>
      </c>
      <c r="CF44" s="368">
        <f t="shared" si="10"/>
        <v>10</v>
      </c>
      <c r="CG44" s="359">
        <f t="shared" si="11"/>
        <v>0.83333333333333337</v>
      </c>
      <c r="CH44" s="369"/>
      <c r="CI44" s="369"/>
      <c r="CJ44" s="370">
        <v>0</v>
      </c>
      <c r="CK44" s="370">
        <v>0</v>
      </c>
      <c r="CL44" s="370">
        <v>0</v>
      </c>
      <c r="CM44" s="394">
        <v>8136709.2479999997</v>
      </c>
      <c r="CN44" s="374">
        <f t="shared" si="12"/>
        <v>0</v>
      </c>
      <c r="CO44" s="370">
        <f t="shared" si="13"/>
        <v>0</v>
      </c>
      <c r="CP44" s="370">
        <v>0</v>
      </c>
      <c r="CQ44" s="370">
        <v>0</v>
      </c>
      <c r="CR44" s="372">
        <v>1356118.2079999999</v>
      </c>
      <c r="CS44" s="374">
        <v>0</v>
      </c>
      <c r="CT44" s="375">
        <f t="shared" si="14"/>
        <v>1356118.2079999999</v>
      </c>
      <c r="CU44" s="370">
        <f t="shared" si="15"/>
        <v>0.16666666666666666</v>
      </c>
      <c r="CV44" s="370">
        <v>1356118.2079999999</v>
      </c>
      <c r="CW44" s="370">
        <v>1356118.21</v>
      </c>
      <c r="CX44" s="372">
        <v>1356118.2079999999</v>
      </c>
      <c r="CY44" s="374">
        <v>0</v>
      </c>
      <c r="CZ44" s="375">
        <f t="shared" si="16"/>
        <v>4068354.6259999992</v>
      </c>
      <c r="DA44" s="370">
        <f t="shared" si="17"/>
        <v>0.50000000024579949</v>
      </c>
      <c r="DB44" s="370">
        <v>1356118.2079999999</v>
      </c>
      <c r="DC44" s="370">
        <v>678059.12</v>
      </c>
      <c r="DD44" s="372">
        <v>0</v>
      </c>
      <c r="DE44" s="374">
        <v>0</v>
      </c>
      <c r="DF44" s="375">
        <f t="shared" si="19"/>
        <v>2034177.3279999997</v>
      </c>
      <c r="DG44" s="370">
        <f t="shared" si="20"/>
        <v>0.25000000196639688</v>
      </c>
      <c r="DH44" s="376">
        <f t="shared" si="21"/>
        <v>8136709.2479999997</v>
      </c>
      <c r="DI44" s="376">
        <f t="shared" si="22"/>
        <v>7458650.1619999986</v>
      </c>
      <c r="DJ44" s="370">
        <f t="shared" si="23"/>
        <v>1</v>
      </c>
      <c r="DK44" s="370"/>
      <c r="DL44" s="377">
        <f t="shared" si="24"/>
        <v>8136709.2479999997</v>
      </c>
      <c r="DM44" s="370">
        <f t="shared" si="25"/>
        <v>8136709.2479999997</v>
      </c>
      <c r="DN44" s="370">
        <f t="shared" si="26"/>
        <v>0</v>
      </c>
      <c r="DO44" s="370">
        <f t="shared" si="27"/>
        <v>0</v>
      </c>
      <c r="DP44" s="370">
        <f t="shared" si="28"/>
        <v>0</v>
      </c>
      <c r="DQ44" s="378">
        <f t="shared" si="29"/>
        <v>7458650.1619999986</v>
      </c>
      <c r="DR44" s="370">
        <f t="shared" si="30"/>
        <v>0</v>
      </c>
      <c r="DS44" s="370">
        <f t="shared" si="31"/>
        <v>1356118.2079999999</v>
      </c>
      <c r="DT44" s="370">
        <f t="shared" si="32"/>
        <v>4068354.6259999992</v>
      </c>
      <c r="DU44" s="370">
        <f t="shared" si="33"/>
        <v>2034177.3279999997</v>
      </c>
      <c r="DW44" s="370">
        <v>1356118.2079999999</v>
      </c>
      <c r="DX44" s="372">
        <v>1356118.2079999999</v>
      </c>
      <c r="DY44" s="300">
        <v>0</v>
      </c>
      <c r="DZ44" s="381">
        <f t="shared" si="34"/>
        <v>732303.83231999993</v>
      </c>
      <c r="EA44" s="382">
        <f t="shared" si="35"/>
        <v>8869013.0803199988</v>
      </c>
      <c r="EB44" s="608"/>
    </row>
    <row r="45" spans="1:132" ht="135" hidden="1" customHeight="1" thickTop="1" thickBot="1">
      <c r="A45" s="133">
        <v>1</v>
      </c>
      <c r="B45" s="411" t="s">
        <v>6</v>
      </c>
      <c r="C45" s="135" t="s">
        <v>304</v>
      </c>
      <c r="D45" s="135" t="s">
        <v>305</v>
      </c>
      <c r="E45" s="412" t="s">
        <v>114</v>
      </c>
      <c r="F45" s="347" t="s">
        <v>306</v>
      </c>
      <c r="G45" s="412" t="s">
        <v>442</v>
      </c>
      <c r="H45" s="32" t="s">
        <v>446</v>
      </c>
      <c r="I45" s="32" t="s">
        <v>838</v>
      </c>
      <c r="J45" s="32">
        <v>42</v>
      </c>
      <c r="K45" s="348" t="s">
        <v>448</v>
      </c>
      <c r="L45" s="40" t="s">
        <v>449</v>
      </c>
      <c r="M45" s="40" t="s">
        <v>839</v>
      </c>
      <c r="N45" s="349" t="s">
        <v>11</v>
      </c>
      <c r="O45" s="350">
        <v>19</v>
      </c>
      <c r="P45" s="392" t="s">
        <v>19</v>
      </c>
      <c r="Q45" s="2">
        <v>1905</v>
      </c>
      <c r="R45" s="32">
        <v>1905026</v>
      </c>
      <c r="S45" s="39" t="s">
        <v>47</v>
      </c>
      <c r="T45" s="39" t="s">
        <v>450</v>
      </c>
      <c r="U45" s="32">
        <v>190502600</v>
      </c>
      <c r="V45" s="40" t="s">
        <v>48</v>
      </c>
      <c r="W45" s="355" t="s">
        <v>316</v>
      </c>
      <c r="X45" s="355"/>
      <c r="Y45" s="355"/>
      <c r="Z45" s="355"/>
      <c r="AA45" s="355"/>
      <c r="AB45" s="355"/>
      <c r="AC45" s="355"/>
      <c r="AD45" s="355"/>
      <c r="AE45" s="355"/>
      <c r="AF45" s="355"/>
      <c r="AG45" s="355"/>
      <c r="AH45" s="356">
        <f t="shared" si="0"/>
        <v>0</v>
      </c>
      <c r="AI45" s="357" t="s">
        <v>201</v>
      </c>
      <c r="AJ45" s="80">
        <v>1</v>
      </c>
      <c r="AK45" s="80">
        <v>1</v>
      </c>
      <c r="AL45" s="80">
        <v>1</v>
      </c>
      <c r="AM45" s="80">
        <v>1</v>
      </c>
      <c r="AN45" s="80">
        <v>1</v>
      </c>
      <c r="AO45" s="358">
        <v>1</v>
      </c>
      <c r="AP45" s="33">
        <f t="shared" si="1"/>
        <v>100</v>
      </c>
      <c r="AQ45" s="359" t="s">
        <v>707</v>
      </c>
      <c r="AR45" s="25">
        <v>0</v>
      </c>
      <c r="AS45" s="25">
        <v>25</v>
      </c>
      <c r="AT45" s="25">
        <v>40</v>
      </c>
      <c r="AU45" s="25">
        <v>35</v>
      </c>
      <c r="AV45" s="392" t="s">
        <v>779</v>
      </c>
      <c r="AW45" s="392" t="s">
        <v>830</v>
      </c>
      <c r="AX45" s="39" t="s">
        <v>840</v>
      </c>
      <c r="AY45" s="25">
        <v>388</v>
      </c>
      <c r="AZ45" s="39" t="s">
        <v>729</v>
      </c>
      <c r="BA45" s="40" t="s">
        <v>47</v>
      </c>
      <c r="BB45" s="360" t="s">
        <v>730</v>
      </c>
      <c r="BC45" s="361" t="s">
        <v>683</v>
      </c>
      <c r="BD45" s="40" t="s">
        <v>731</v>
      </c>
      <c r="BE45" s="421">
        <v>4256709.25</v>
      </c>
      <c r="BF45" s="363" t="s">
        <v>771</v>
      </c>
      <c r="BG45" s="364" t="s">
        <v>841</v>
      </c>
      <c r="BH45" s="365" t="s">
        <v>842</v>
      </c>
      <c r="BI45" s="365"/>
      <c r="BJ45" s="26" t="s">
        <v>843</v>
      </c>
      <c r="BK45" s="26" t="s">
        <v>844</v>
      </c>
      <c r="BL45" s="359">
        <v>0</v>
      </c>
      <c r="BM45" s="359">
        <v>0</v>
      </c>
      <c r="BN45" s="359">
        <v>0</v>
      </c>
      <c r="BO45" s="366">
        <f t="shared" si="2"/>
        <v>0</v>
      </c>
      <c r="BP45" s="367">
        <f t="shared" si="3"/>
        <v>0</v>
      </c>
      <c r="BQ45" s="359">
        <v>0</v>
      </c>
      <c r="BR45" s="413">
        <v>16.66</v>
      </c>
      <c r="BS45" s="413">
        <v>16.66</v>
      </c>
      <c r="BT45" s="366">
        <f t="shared" si="4"/>
        <v>33.32</v>
      </c>
      <c r="BU45" s="367">
        <f t="shared" si="5"/>
        <v>0.3332</v>
      </c>
      <c r="BV45" s="414">
        <v>16.66</v>
      </c>
      <c r="BW45" s="414">
        <v>16.670000000000002</v>
      </c>
      <c r="BX45" s="414">
        <v>16.670000000000002</v>
      </c>
      <c r="BY45" s="366">
        <f t="shared" si="6"/>
        <v>50</v>
      </c>
      <c r="BZ45" s="367">
        <f t="shared" si="7"/>
        <v>0.5</v>
      </c>
      <c r="CA45" s="359">
        <v>0</v>
      </c>
      <c r="CB45" s="359">
        <v>0</v>
      </c>
      <c r="CC45" s="359">
        <v>0</v>
      </c>
      <c r="CD45" s="366">
        <f t="shared" si="8"/>
        <v>0</v>
      </c>
      <c r="CE45" s="367">
        <f t="shared" si="9"/>
        <v>0</v>
      </c>
      <c r="CF45" s="368">
        <f t="shared" si="10"/>
        <v>83.32</v>
      </c>
      <c r="CG45" s="359">
        <f t="shared" si="11"/>
        <v>0.83319999999999994</v>
      </c>
      <c r="CH45" s="369"/>
      <c r="CI45" s="369"/>
      <c r="CJ45" s="370">
        <v>0</v>
      </c>
      <c r="CK45" s="370">
        <v>0</v>
      </c>
      <c r="CL45" s="370">
        <v>0</v>
      </c>
      <c r="CM45" s="375">
        <v>4256709.25</v>
      </c>
      <c r="CN45" s="374">
        <f t="shared" si="12"/>
        <v>0</v>
      </c>
      <c r="CO45" s="370">
        <f t="shared" si="13"/>
        <v>0</v>
      </c>
      <c r="CP45" s="370">
        <v>0</v>
      </c>
      <c r="CQ45" s="370">
        <v>0</v>
      </c>
      <c r="CR45" s="372">
        <v>709451.54166666663</v>
      </c>
      <c r="CS45" s="374">
        <v>0</v>
      </c>
      <c r="CT45" s="375">
        <f t="shared" si="14"/>
        <v>709451.54166666663</v>
      </c>
      <c r="CU45" s="370">
        <f t="shared" si="15"/>
        <v>0.16666666666666666</v>
      </c>
      <c r="CV45" s="370">
        <v>709451.54</v>
      </c>
      <c r="CW45" s="370">
        <v>709451.54</v>
      </c>
      <c r="CX45" s="372">
        <v>709451.54166666663</v>
      </c>
      <c r="CY45" s="374">
        <v>0</v>
      </c>
      <c r="CZ45" s="375">
        <f t="shared" si="16"/>
        <v>2128354.6216666666</v>
      </c>
      <c r="DA45" s="370">
        <f t="shared" si="17"/>
        <v>0.49999999921692245</v>
      </c>
      <c r="DB45" s="370">
        <v>709451.54166666663</v>
      </c>
      <c r="DC45" s="370">
        <v>709451.54</v>
      </c>
      <c r="DD45" s="372">
        <v>0</v>
      </c>
      <c r="DE45" s="374">
        <v>0</v>
      </c>
      <c r="DF45" s="375">
        <f t="shared" si="19"/>
        <v>1418903.0816666665</v>
      </c>
      <c r="DG45" s="370">
        <f t="shared" si="20"/>
        <v>0.33333333294179457</v>
      </c>
      <c r="DH45" s="376">
        <f t="shared" si="21"/>
        <v>4256709.25</v>
      </c>
      <c r="DI45" s="376">
        <f t="shared" si="22"/>
        <v>4256709.2449999992</v>
      </c>
      <c r="DJ45" s="370">
        <f t="shared" si="23"/>
        <v>1</v>
      </c>
      <c r="DK45" s="370"/>
      <c r="DL45" s="377">
        <f t="shared" si="24"/>
        <v>4256709.25</v>
      </c>
      <c r="DM45" s="370">
        <f t="shared" si="25"/>
        <v>4256709.25</v>
      </c>
      <c r="DN45" s="370">
        <f t="shared" si="26"/>
        <v>0</v>
      </c>
      <c r="DO45" s="370">
        <f t="shared" si="27"/>
        <v>0</v>
      </c>
      <c r="DP45" s="370">
        <f t="shared" si="28"/>
        <v>0</v>
      </c>
      <c r="DQ45" s="378">
        <f t="shared" si="29"/>
        <v>4256709.2449999992</v>
      </c>
      <c r="DR45" s="370">
        <f t="shared" si="30"/>
        <v>0</v>
      </c>
      <c r="DS45" s="370">
        <f t="shared" si="31"/>
        <v>709451.54166666663</v>
      </c>
      <c r="DT45" s="370">
        <f t="shared" si="32"/>
        <v>2128354.6216666666</v>
      </c>
      <c r="DU45" s="370">
        <f t="shared" si="33"/>
        <v>1418903.0816666665</v>
      </c>
      <c r="DW45" s="370">
        <v>709451.54166666663</v>
      </c>
      <c r="DX45" s="372">
        <v>709451.54166666663</v>
      </c>
      <c r="DY45" s="300">
        <v>709451.54166666663</v>
      </c>
      <c r="DZ45" s="381">
        <f t="shared" si="34"/>
        <v>383103.83249999996</v>
      </c>
      <c r="EA45" s="382">
        <f t="shared" si="35"/>
        <v>4639813.0824999996</v>
      </c>
      <c r="EB45" s="608"/>
    </row>
    <row r="46" spans="1:132" ht="160.5" hidden="1" customHeight="1" thickTop="1" thickBot="1">
      <c r="A46" s="133">
        <v>1</v>
      </c>
      <c r="B46" s="411" t="s">
        <v>6</v>
      </c>
      <c r="C46" s="135" t="s">
        <v>304</v>
      </c>
      <c r="D46" s="135" t="s">
        <v>305</v>
      </c>
      <c r="E46" s="412" t="s">
        <v>114</v>
      </c>
      <c r="F46" s="347" t="s">
        <v>306</v>
      </c>
      <c r="G46" s="412" t="s">
        <v>442</v>
      </c>
      <c r="H46" s="32" t="s">
        <v>446</v>
      </c>
      <c r="I46" s="32" t="s">
        <v>838</v>
      </c>
      <c r="J46" s="32">
        <v>42</v>
      </c>
      <c r="K46" s="348" t="s">
        <v>448</v>
      </c>
      <c r="L46" s="40" t="s">
        <v>449</v>
      </c>
      <c r="M46" s="40" t="s">
        <v>839</v>
      </c>
      <c r="N46" s="349" t="s">
        <v>11</v>
      </c>
      <c r="O46" s="350">
        <v>19</v>
      </c>
      <c r="P46" s="392" t="s">
        <v>19</v>
      </c>
      <c r="Q46" s="2">
        <v>1905</v>
      </c>
      <c r="R46" s="32">
        <v>1905026</v>
      </c>
      <c r="S46" s="39" t="s">
        <v>47</v>
      </c>
      <c r="T46" s="39" t="s">
        <v>450</v>
      </c>
      <c r="U46" s="32">
        <v>190502600</v>
      </c>
      <c r="V46" s="40" t="s">
        <v>48</v>
      </c>
      <c r="W46" s="355" t="s">
        <v>316</v>
      </c>
      <c r="X46" s="355"/>
      <c r="Y46" s="355"/>
      <c r="Z46" s="355"/>
      <c r="AA46" s="355"/>
      <c r="AB46" s="355"/>
      <c r="AC46" s="355"/>
      <c r="AD46" s="355"/>
      <c r="AE46" s="355"/>
      <c r="AF46" s="355"/>
      <c r="AG46" s="355"/>
      <c r="AH46" s="356">
        <f t="shared" si="0"/>
        <v>0</v>
      </c>
      <c r="AI46" s="357" t="s">
        <v>202</v>
      </c>
      <c r="AJ46" s="80">
        <v>1</v>
      </c>
      <c r="AK46" s="80">
        <v>1</v>
      </c>
      <c r="AL46" s="80">
        <v>1</v>
      </c>
      <c r="AM46" s="80">
        <v>1</v>
      </c>
      <c r="AN46" s="80">
        <v>1</v>
      </c>
      <c r="AO46" s="358">
        <v>1</v>
      </c>
      <c r="AP46" s="33">
        <f t="shared" si="1"/>
        <v>4</v>
      </c>
      <c r="AQ46" s="359" t="s">
        <v>316</v>
      </c>
      <c r="AR46" s="25">
        <v>0</v>
      </c>
      <c r="AS46" s="25">
        <v>1</v>
      </c>
      <c r="AT46" s="25">
        <v>1</v>
      </c>
      <c r="AU46" s="25">
        <v>2</v>
      </c>
      <c r="AV46" s="392" t="s">
        <v>779</v>
      </c>
      <c r="AW46" s="392" t="s">
        <v>830</v>
      </c>
      <c r="AX46" s="39" t="s">
        <v>840</v>
      </c>
      <c r="AY46" s="25">
        <v>388</v>
      </c>
      <c r="AZ46" s="39" t="s">
        <v>729</v>
      </c>
      <c r="BA46" s="40" t="s">
        <v>47</v>
      </c>
      <c r="BB46" s="360" t="s">
        <v>730</v>
      </c>
      <c r="BC46" s="361" t="s">
        <v>683</v>
      </c>
      <c r="BD46" s="40" t="s">
        <v>731</v>
      </c>
      <c r="BE46" s="421">
        <v>24285544.219999999</v>
      </c>
      <c r="BF46" s="363" t="s">
        <v>771</v>
      </c>
      <c r="BG46" s="364" t="s">
        <v>841</v>
      </c>
      <c r="BH46" s="365" t="s">
        <v>842</v>
      </c>
      <c r="BI46" s="365"/>
      <c r="BJ46" s="26" t="s">
        <v>843</v>
      </c>
      <c r="BK46" s="26" t="s">
        <v>844</v>
      </c>
      <c r="BL46" s="359">
        <v>0</v>
      </c>
      <c r="BM46" s="359">
        <v>0</v>
      </c>
      <c r="BN46" s="359">
        <v>0</v>
      </c>
      <c r="BO46" s="366">
        <f t="shared" si="2"/>
        <v>0</v>
      </c>
      <c r="BP46" s="367">
        <f t="shared" si="3"/>
        <v>0</v>
      </c>
      <c r="BQ46" s="359">
        <v>1</v>
      </c>
      <c r="BR46" s="359">
        <v>0</v>
      </c>
      <c r="BS46" s="359">
        <v>0</v>
      </c>
      <c r="BT46" s="366">
        <f t="shared" si="4"/>
        <v>1</v>
      </c>
      <c r="BU46" s="367">
        <f t="shared" si="5"/>
        <v>0.25</v>
      </c>
      <c r="BV46" s="359">
        <v>1</v>
      </c>
      <c r="BW46" s="359">
        <v>1</v>
      </c>
      <c r="BX46" s="359">
        <v>1</v>
      </c>
      <c r="BY46" s="366">
        <f t="shared" si="6"/>
        <v>3</v>
      </c>
      <c r="BZ46" s="367">
        <f t="shared" si="7"/>
        <v>0.75</v>
      </c>
      <c r="CA46" s="359">
        <v>0</v>
      </c>
      <c r="CB46" s="359">
        <v>0</v>
      </c>
      <c r="CC46" s="359">
        <v>0</v>
      </c>
      <c r="CD46" s="366">
        <f t="shared" si="8"/>
        <v>0</v>
      </c>
      <c r="CE46" s="367">
        <f t="shared" si="9"/>
        <v>0</v>
      </c>
      <c r="CF46" s="368">
        <f t="shared" si="10"/>
        <v>4</v>
      </c>
      <c r="CG46" s="359">
        <f t="shared" si="11"/>
        <v>1</v>
      </c>
      <c r="CH46" s="369"/>
      <c r="CI46" s="369"/>
      <c r="CJ46" s="370">
        <v>0</v>
      </c>
      <c r="CK46" s="370">
        <v>0</v>
      </c>
      <c r="CL46" s="370">
        <v>0</v>
      </c>
      <c r="CM46" s="375">
        <v>24285544.219999999</v>
      </c>
      <c r="CN46" s="374">
        <f t="shared" si="12"/>
        <v>0</v>
      </c>
      <c r="CO46" s="370">
        <f t="shared" si="13"/>
        <v>0</v>
      </c>
      <c r="CP46" s="370">
        <v>0</v>
      </c>
      <c r="CQ46" s="370">
        <v>6071386.0549999997</v>
      </c>
      <c r="CR46" s="372">
        <v>0</v>
      </c>
      <c r="CS46" s="374">
        <v>0</v>
      </c>
      <c r="CT46" s="375">
        <f t="shared" si="14"/>
        <v>6071386.0549999997</v>
      </c>
      <c r="CU46" s="370">
        <f t="shared" si="15"/>
        <v>0.25</v>
      </c>
      <c r="CV46" s="370">
        <v>0</v>
      </c>
      <c r="CW46" s="370">
        <v>6071386.0599999996</v>
      </c>
      <c r="CX46" s="372">
        <v>6071386.0549999997</v>
      </c>
      <c r="CY46" s="374">
        <v>0</v>
      </c>
      <c r="CZ46" s="375">
        <f t="shared" si="16"/>
        <v>12142772.114999998</v>
      </c>
      <c r="DA46" s="370">
        <f t="shared" si="17"/>
        <v>0.50000000020588375</v>
      </c>
      <c r="DB46" s="370">
        <v>6071386.0499999998</v>
      </c>
      <c r="DC46" s="370">
        <v>0</v>
      </c>
      <c r="DD46" s="372">
        <v>0</v>
      </c>
      <c r="DE46" s="374">
        <v>0</v>
      </c>
      <c r="DF46" s="375">
        <f t="shared" si="19"/>
        <v>6071386.0499999998</v>
      </c>
      <c r="DG46" s="370">
        <f t="shared" si="20"/>
        <v>0.24999999979411622</v>
      </c>
      <c r="DH46" s="376">
        <f t="shared" si="21"/>
        <v>24285544.219999999</v>
      </c>
      <c r="DI46" s="376">
        <f t="shared" si="22"/>
        <v>24285544.219999999</v>
      </c>
      <c r="DJ46" s="370">
        <f t="shared" si="23"/>
        <v>1</v>
      </c>
      <c r="DK46" s="370"/>
      <c r="DL46" s="377">
        <f t="shared" si="24"/>
        <v>24285544.219999999</v>
      </c>
      <c r="DM46" s="370">
        <f t="shared" si="25"/>
        <v>24285544.219999999</v>
      </c>
      <c r="DN46" s="370">
        <f t="shared" si="26"/>
        <v>0</v>
      </c>
      <c r="DO46" s="370">
        <f t="shared" si="27"/>
        <v>0</v>
      </c>
      <c r="DP46" s="370">
        <f t="shared" si="28"/>
        <v>0</v>
      </c>
      <c r="DQ46" s="378">
        <f t="shared" si="29"/>
        <v>24285544.219999999</v>
      </c>
      <c r="DR46" s="370">
        <f t="shared" si="30"/>
        <v>0</v>
      </c>
      <c r="DS46" s="370">
        <f t="shared" si="31"/>
        <v>6071386.0549999997</v>
      </c>
      <c r="DT46" s="370">
        <f t="shared" si="32"/>
        <v>12142772.114999998</v>
      </c>
      <c r="DU46" s="370">
        <f t="shared" si="33"/>
        <v>6071386.0499999998</v>
      </c>
      <c r="DW46" s="370">
        <v>6071386.0549999997</v>
      </c>
      <c r="DX46" s="372">
        <v>6071386.0549999997</v>
      </c>
      <c r="DY46" s="300">
        <v>0</v>
      </c>
      <c r="DZ46" s="381">
        <f t="shared" si="34"/>
        <v>2185698.9797999999</v>
      </c>
      <c r="EA46" s="382">
        <f t="shared" si="35"/>
        <v>26471243.1998</v>
      </c>
      <c r="EB46" s="608"/>
    </row>
    <row r="47" spans="1:132" ht="126" hidden="1" customHeight="1" thickTop="1" thickBot="1">
      <c r="A47" s="133">
        <v>1</v>
      </c>
      <c r="B47" s="411" t="s">
        <v>6</v>
      </c>
      <c r="C47" s="135" t="s">
        <v>304</v>
      </c>
      <c r="D47" s="135" t="s">
        <v>305</v>
      </c>
      <c r="E47" s="412" t="s">
        <v>114</v>
      </c>
      <c r="F47" s="347" t="s">
        <v>306</v>
      </c>
      <c r="G47" s="412" t="s">
        <v>442</v>
      </c>
      <c r="H47" s="32" t="s">
        <v>446</v>
      </c>
      <c r="I47" s="32" t="s">
        <v>838</v>
      </c>
      <c r="J47" s="32">
        <v>42</v>
      </c>
      <c r="K47" s="348" t="s">
        <v>448</v>
      </c>
      <c r="L47" s="40" t="s">
        <v>449</v>
      </c>
      <c r="M47" s="40" t="s">
        <v>839</v>
      </c>
      <c r="N47" s="349" t="s">
        <v>11</v>
      </c>
      <c r="O47" s="350">
        <v>19</v>
      </c>
      <c r="P47" s="392" t="s">
        <v>19</v>
      </c>
      <c r="Q47" s="2">
        <v>1905</v>
      </c>
      <c r="R47" s="32">
        <v>1905026</v>
      </c>
      <c r="S47" s="39" t="s">
        <v>47</v>
      </c>
      <c r="T47" s="39" t="s">
        <v>450</v>
      </c>
      <c r="U47" s="32">
        <v>190502600</v>
      </c>
      <c r="V47" s="40" t="s">
        <v>48</v>
      </c>
      <c r="W47" s="355" t="s">
        <v>316</v>
      </c>
      <c r="X47" s="355"/>
      <c r="Y47" s="355"/>
      <c r="Z47" s="355"/>
      <c r="AA47" s="355"/>
      <c r="AB47" s="355"/>
      <c r="AC47" s="355"/>
      <c r="AD47" s="355"/>
      <c r="AE47" s="355"/>
      <c r="AF47" s="355"/>
      <c r="AG47" s="355"/>
      <c r="AH47" s="356">
        <f t="shared" si="0"/>
        <v>0</v>
      </c>
      <c r="AI47" s="357" t="s">
        <v>203</v>
      </c>
      <c r="AJ47" s="80">
        <v>1</v>
      </c>
      <c r="AK47" s="80">
        <v>1</v>
      </c>
      <c r="AL47" s="80">
        <v>1</v>
      </c>
      <c r="AM47" s="80">
        <v>1</v>
      </c>
      <c r="AN47" s="80">
        <v>1</v>
      </c>
      <c r="AO47" s="358">
        <v>1</v>
      </c>
      <c r="AP47" s="33">
        <f t="shared" si="1"/>
        <v>3</v>
      </c>
      <c r="AQ47" s="359" t="s">
        <v>316</v>
      </c>
      <c r="AR47" s="25">
        <v>0</v>
      </c>
      <c r="AS47" s="25">
        <v>1</v>
      </c>
      <c r="AT47" s="25">
        <v>1</v>
      </c>
      <c r="AU47" s="25">
        <v>1</v>
      </c>
      <c r="AV47" s="392" t="s">
        <v>779</v>
      </c>
      <c r="AW47" s="392" t="s">
        <v>830</v>
      </c>
      <c r="AX47" s="39" t="s">
        <v>840</v>
      </c>
      <c r="AY47" s="25">
        <v>388</v>
      </c>
      <c r="AZ47" s="39" t="s">
        <v>729</v>
      </c>
      <c r="BA47" s="40" t="s">
        <v>47</v>
      </c>
      <c r="BB47" s="360" t="s">
        <v>730</v>
      </c>
      <c r="BC47" s="361" t="s">
        <v>683</v>
      </c>
      <c r="BD47" s="40" t="s">
        <v>731</v>
      </c>
      <c r="BE47" s="421">
        <v>4764736.82</v>
      </c>
      <c r="BF47" s="363" t="s">
        <v>771</v>
      </c>
      <c r="BG47" s="364" t="s">
        <v>841</v>
      </c>
      <c r="BH47" s="365" t="s">
        <v>842</v>
      </c>
      <c r="BI47" s="365"/>
      <c r="BJ47" s="26" t="s">
        <v>843</v>
      </c>
      <c r="BK47" s="26" t="s">
        <v>844</v>
      </c>
      <c r="BL47" s="359">
        <v>0</v>
      </c>
      <c r="BM47" s="359">
        <v>0</v>
      </c>
      <c r="BN47" s="359">
        <v>0</v>
      </c>
      <c r="BO47" s="366">
        <f t="shared" si="2"/>
        <v>0</v>
      </c>
      <c r="BP47" s="367">
        <f t="shared" si="3"/>
        <v>0</v>
      </c>
      <c r="BQ47" s="359">
        <v>0</v>
      </c>
      <c r="BR47" s="359">
        <v>0</v>
      </c>
      <c r="BS47" s="359">
        <v>0</v>
      </c>
      <c r="BT47" s="366">
        <f t="shared" si="4"/>
        <v>0</v>
      </c>
      <c r="BU47" s="367">
        <f t="shared" si="5"/>
        <v>0</v>
      </c>
      <c r="BV47" s="359">
        <v>0</v>
      </c>
      <c r="BW47" s="359">
        <v>0</v>
      </c>
      <c r="BX47" s="359">
        <v>2</v>
      </c>
      <c r="BY47" s="366">
        <f t="shared" si="6"/>
        <v>2</v>
      </c>
      <c r="BZ47" s="367">
        <f t="shared" si="7"/>
        <v>0.66666666666666663</v>
      </c>
      <c r="CA47" s="359">
        <v>0</v>
      </c>
      <c r="CB47" s="359">
        <v>0</v>
      </c>
      <c r="CC47" s="359">
        <v>0</v>
      </c>
      <c r="CD47" s="366">
        <f t="shared" si="8"/>
        <v>0</v>
      </c>
      <c r="CE47" s="367">
        <f t="shared" si="9"/>
        <v>0</v>
      </c>
      <c r="CF47" s="368">
        <f t="shared" si="10"/>
        <v>2</v>
      </c>
      <c r="CG47" s="359">
        <f t="shared" si="11"/>
        <v>0.66666666666666663</v>
      </c>
      <c r="CH47" s="369"/>
      <c r="CI47" s="369"/>
      <c r="CJ47" s="370">
        <v>0</v>
      </c>
      <c r="CK47" s="370">
        <v>0</v>
      </c>
      <c r="CL47" s="370">
        <v>0</v>
      </c>
      <c r="CM47" s="375">
        <v>4764736.82</v>
      </c>
      <c r="CN47" s="374">
        <f t="shared" si="12"/>
        <v>0</v>
      </c>
      <c r="CO47" s="370">
        <f t="shared" si="13"/>
        <v>0</v>
      </c>
      <c r="CP47" s="370">
        <v>0</v>
      </c>
      <c r="CQ47" s="345">
        <v>0</v>
      </c>
      <c r="CR47" s="372">
        <v>0</v>
      </c>
      <c r="CS47" s="374">
        <v>0</v>
      </c>
      <c r="CT47" s="375">
        <f t="shared" si="14"/>
        <v>0</v>
      </c>
      <c r="CU47" s="370">
        <f t="shared" si="15"/>
        <v>0</v>
      </c>
      <c r="CV47" s="370">
        <v>0</v>
      </c>
      <c r="CW47" s="370">
        <v>0</v>
      </c>
      <c r="CX47" s="372">
        <v>0</v>
      </c>
      <c r="CY47" s="374">
        <v>0</v>
      </c>
      <c r="CZ47" s="375">
        <f t="shared" si="16"/>
        <v>0</v>
      </c>
      <c r="DA47" s="370">
        <f t="shared" si="17"/>
        <v>0</v>
      </c>
      <c r="DB47" s="370">
        <v>3176491.2133333334</v>
      </c>
      <c r="DC47" s="370">
        <v>1588245.61</v>
      </c>
      <c r="DD47" s="372">
        <v>0</v>
      </c>
      <c r="DE47" s="374">
        <v>0</v>
      </c>
      <c r="DF47" s="375">
        <f t="shared" si="19"/>
        <v>4764736.8233333332</v>
      </c>
      <c r="DG47" s="370">
        <f t="shared" si="20"/>
        <v>1.0000000006995839</v>
      </c>
      <c r="DH47" s="376">
        <f t="shared" si="21"/>
        <v>4764736.82</v>
      </c>
      <c r="DI47" s="376">
        <f>$CN47+$CT47+$CZ47+$DF47</f>
        <v>4764736.8233333332</v>
      </c>
      <c r="DJ47" s="370">
        <f t="shared" si="23"/>
        <v>1</v>
      </c>
      <c r="DK47" s="370"/>
      <c r="DL47" s="377">
        <f t="shared" si="24"/>
        <v>4764736.82</v>
      </c>
      <c r="DM47" s="370">
        <f t="shared" si="25"/>
        <v>4764736.82</v>
      </c>
      <c r="DN47" s="370">
        <f t="shared" si="26"/>
        <v>0</v>
      </c>
      <c r="DO47" s="370">
        <f t="shared" si="27"/>
        <v>0</v>
      </c>
      <c r="DP47" s="370">
        <f t="shared" si="28"/>
        <v>0</v>
      </c>
      <c r="DQ47" s="378">
        <f t="shared" si="29"/>
        <v>4764736.8233333332</v>
      </c>
      <c r="DR47" s="370">
        <f t="shared" si="30"/>
        <v>0</v>
      </c>
      <c r="DS47" s="370">
        <f t="shared" si="31"/>
        <v>0</v>
      </c>
      <c r="DT47" s="370">
        <f t="shared" si="32"/>
        <v>0</v>
      </c>
      <c r="DU47" s="370">
        <f t="shared" si="33"/>
        <v>4764736.8233333332</v>
      </c>
      <c r="DW47" s="370">
        <v>0</v>
      </c>
      <c r="DX47" s="372">
        <v>0</v>
      </c>
      <c r="DY47" s="300">
        <v>0</v>
      </c>
      <c r="DZ47" s="381">
        <f t="shared" si="34"/>
        <v>428826.3138</v>
      </c>
      <c r="EA47" s="382">
        <f t="shared" si="35"/>
        <v>5193563.1338</v>
      </c>
      <c r="EB47" s="608"/>
    </row>
    <row r="48" spans="1:132" ht="147" hidden="1" customHeight="1" thickTop="1">
      <c r="A48" s="133">
        <v>1</v>
      </c>
      <c r="B48" s="411" t="s">
        <v>6</v>
      </c>
      <c r="C48" s="135" t="s">
        <v>304</v>
      </c>
      <c r="D48" s="135" t="s">
        <v>305</v>
      </c>
      <c r="E48" s="412" t="s">
        <v>114</v>
      </c>
      <c r="F48" s="347" t="s">
        <v>306</v>
      </c>
      <c r="G48" s="412" t="s">
        <v>442</v>
      </c>
      <c r="H48" s="32" t="s">
        <v>446</v>
      </c>
      <c r="I48" s="32" t="s">
        <v>838</v>
      </c>
      <c r="J48" s="32">
        <v>42</v>
      </c>
      <c r="K48" s="348" t="s">
        <v>448</v>
      </c>
      <c r="L48" s="40" t="s">
        <v>449</v>
      </c>
      <c r="M48" s="40" t="s">
        <v>839</v>
      </c>
      <c r="N48" s="349" t="s">
        <v>11</v>
      </c>
      <c r="O48" s="350">
        <v>19</v>
      </c>
      <c r="P48" s="392" t="s">
        <v>19</v>
      </c>
      <c r="Q48" s="2">
        <v>1905</v>
      </c>
      <c r="R48" s="32">
        <v>1905026</v>
      </c>
      <c r="S48" s="39" t="s">
        <v>47</v>
      </c>
      <c r="T48" s="39" t="s">
        <v>450</v>
      </c>
      <c r="U48" s="32">
        <v>190502600</v>
      </c>
      <c r="V48" s="40" t="s">
        <v>48</v>
      </c>
      <c r="W48" s="355" t="s">
        <v>316</v>
      </c>
      <c r="X48" s="355"/>
      <c r="Y48" s="355"/>
      <c r="Z48" s="355"/>
      <c r="AA48" s="355"/>
      <c r="AB48" s="355"/>
      <c r="AC48" s="355"/>
      <c r="AD48" s="355"/>
      <c r="AE48" s="355"/>
      <c r="AF48" s="355"/>
      <c r="AG48" s="355"/>
      <c r="AH48" s="356">
        <f t="shared" si="0"/>
        <v>0</v>
      </c>
      <c r="AI48" s="357" t="s">
        <v>204</v>
      </c>
      <c r="AJ48" s="80">
        <v>1</v>
      </c>
      <c r="AK48" s="80">
        <v>1</v>
      </c>
      <c r="AL48" s="80">
        <v>1</v>
      </c>
      <c r="AM48" s="80">
        <v>1</v>
      </c>
      <c r="AN48" s="80">
        <v>1</v>
      </c>
      <c r="AO48" s="358">
        <v>1</v>
      </c>
      <c r="AP48" s="33">
        <f t="shared" si="1"/>
        <v>8</v>
      </c>
      <c r="AQ48" s="359" t="s">
        <v>316</v>
      </c>
      <c r="AR48" s="25">
        <v>0</v>
      </c>
      <c r="AS48" s="25">
        <v>2</v>
      </c>
      <c r="AT48" s="25">
        <v>3</v>
      </c>
      <c r="AU48" s="25">
        <v>3</v>
      </c>
      <c r="AV48" s="392" t="s">
        <v>779</v>
      </c>
      <c r="AW48" s="392" t="s">
        <v>830</v>
      </c>
      <c r="AX48" s="39" t="s">
        <v>840</v>
      </c>
      <c r="AY48" s="25">
        <v>388</v>
      </c>
      <c r="AZ48" s="39" t="s">
        <v>729</v>
      </c>
      <c r="BA48" s="40" t="s">
        <v>47</v>
      </c>
      <c r="BB48" s="360" t="s">
        <v>730</v>
      </c>
      <c r="BC48" s="361" t="s">
        <v>683</v>
      </c>
      <c r="BD48" s="40" t="s">
        <v>731</v>
      </c>
      <c r="BE48" s="391">
        <v>23320000</v>
      </c>
      <c r="BF48" s="363" t="s">
        <v>771</v>
      </c>
      <c r="BG48" s="364" t="s">
        <v>841</v>
      </c>
      <c r="BH48" s="365" t="s">
        <v>842</v>
      </c>
      <c r="BI48" s="365"/>
      <c r="BJ48" s="26" t="s">
        <v>843</v>
      </c>
      <c r="BK48" s="26" t="s">
        <v>844</v>
      </c>
      <c r="BL48" s="359">
        <v>0</v>
      </c>
      <c r="BM48" s="359">
        <v>0</v>
      </c>
      <c r="BN48" s="359">
        <v>0</v>
      </c>
      <c r="BO48" s="366">
        <f t="shared" si="2"/>
        <v>0</v>
      </c>
      <c r="BP48" s="367">
        <f t="shared" si="3"/>
        <v>0</v>
      </c>
      <c r="BQ48" s="359">
        <v>1</v>
      </c>
      <c r="BR48" s="359">
        <v>1</v>
      </c>
      <c r="BS48" s="359">
        <v>1</v>
      </c>
      <c r="BT48" s="366">
        <f t="shared" si="4"/>
        <v>3</v>
      </c>
      <c r="BU48" s="367">
        <f t="shared" si="5"/>
        <v>0.375</v>
      </c>
      <c r="BV48" s="359">
        <v>1</v>
      </c>
      <c r="BW48" s="359">
        <v>1</v>
      </c>
      <c r="BX48" s="359">
        <v>1</v>
      </c>
      <c r="BY48" s="366">
        <f t="shared" si="6"/>
        <v>3</v>
      </c>
      <c r="BZ48" s="367">
        <f t="shared" si="7"/>
        <v>0.375</v>
      </c>
      <c r="CA48" s="359">
        <v>0</v>
      </c>
      <c r="CB48" s="359">
        <v>0</v>
      </c>
      <c r="CC48" s="359">
        <v>0</v>
      </c>
      <c r="CD48" s="366">
        <f t="shared" si="8"/>
        <v>0</v>
      </c>
      <c r="CE48" s="367">
        <f t="shared" si="9"/>
        <v>0</v>
      </c>
      <c r="CF48" s="368">
        <f t="shared" si="10"/>
        <v>6</v>
      </c>
      <c r="CG48" s="359">
        <f t="shared" si="11"/>
        <v>0.75</v>
      </c>
      <c r="CH48" s="369"/>
      <c r="CI48" s="369"/>
      <c r="CJ48" s="370">
        <v>0</v>
      </c>
      <c r="CK48" s="370">
        <v>0</v>
      </c>
      <c r="CL48" s="370">
        <v>0</v>
      </c>
      <c r="CM48" s="394">
        <v>23320000</v>
      </c>
      <c r="CN48" s="374">
        <f t="shared" si="12"/>
        <v>0</v>
      </c>
      <c r="CO48" s="370">
        <f t="shared" si="13"/>
        <v>0</v>
      </c>
      <c r="CP48" s="370">
        <v>0</v>
      </c>
      <c r="CQ48" s="370">
        <v>2915000</v>
      </c>
      <c r="CR48" s="372">
        <v>2915000</v>
      </c>
      <c r="CS48" s="374">
        <v>0</v>
      </c>
      <c r="CT48" s="375">
        <f t="shared" si="14"/>
        <v>5830000</v>
      </c>
      <c r="CU48" s="370">
        <f t="shared" si="15"/>
        <v>0.25</v>
      </c>
      <c r="CV48" s="370">
        <v>2915000</v>
      </c>
      <c r="CW48" s="370">
        <v>2915000</v>
      </c>
      <c r="CX48" s="372">
        <v>2915000</v>
      </c>
      <c r="CY48" s="374">
        <v>0</v>
      </c>
      <c r="CZ48" s="375">
        <f t="shared" si="16"/>
        <v>8745000</v>
      </c>
      <c r="DA48" s="370">
        <f t="shared" si="17"/>
        <v>0.375</v>
      </c>
      <c r="DB48" s="370">
        <v>2915000</v>
      </c>
      <c r="DC48" s="370">
        <v>2915000</v>
      </c>
      <c r="DD48" s="372">
        <v>0</v>
      </c>
      <c r="DE48" s="374">
        <v>0</v>
      </c>
      <c r="DF48" s="375">
        <f t="shared" si="19"/>
        <v>5830000</v>
      </c>
      <c r="DG48" s="370">
        <f t="shared" si="20"/>
        <v>0.25</v>
      </c>
      <c r="DH48" s="376">
        <f t="shared" si="21"/>
        <v>23320000</v>
      </c>
      <c r="DI48" s="376">
        <f t="shared" si="22"/>
        <v>20405000</v>
      </c>
      <c r="DJ48" s="370">
        <f t="shared" si="23"/>
        <v>1</v>
      </c>
      <c r="DK48" s="370"/>
      <c r="DL48" s="377">
        <f t="shared" si="24"/>
        <v>23320000</v>
      </c>
      <c r="DM48" s="370">
        <f t="shared" si="25"/>
        <v>23320000</v>
      </c>
      <c r="DN48" s="370">
        <f t="shared" si="26"/>
        <v>0</v>
      </c>
      <c r="DO48" s="370">
        <f t="shared" si="27"/>
        <v>0</v>
      </c>
      <c r="DP48" s="370">
        <f t="shared" si="28"/>
        <v>0</v>
      </c>
      <c r="DQ48" s="378">
        <f t="shared" si="29"/>
        <v>20405000</v>
      </c>
      <c r="DR48" s="370">
        <f t="shared" si="30"/>
        <v>0</v>
      </c>
      <c r="DS48" s="370">
        <f t="shared" si="31"/>
        <v>5830000</v>
      </c>
      <c r="DT48" s="370">
        <f t="shared" si="32"/>
        <v>8745000</v>
      </c>
      <c r="DU48" s="370">
        <f t="shared" si="33"/>
        <v>5830000</v>
      </c>
      <c r="DW48" s="370">
        <v>2915000</v>
      </c>
      <c r="DX48" s="372">
        <v>2915000</v>
      </c>
      <c r="DY48" s="300">
        <v>0</v>
      </c>
      <c r="DZ48" s="381">
        <f t="shared" si="34"/>
        <v>2098800</v>
      </c>
      <c r="EA48" s="382">
        <f t="shared" si="35"/>
        <v>25418800</v>
      </c>
      <c r="EB48" s="608"/>
    </row>
    <row r="49" spans="1:133" ht="114" customHeight="1" thickTop="1" thickBot="1">
      <c r="K49" s="348" t="s">
        <v>448</v>
      </c>
      <c r="N49" s="423" t="s">
        <v>11</v>
      </c>
      <c r="O49" s="424">
        <v>19</v>
      </c>
      <c r="P49" s="39" t="s">
        <v>19</v>
      </c>
      <c r="Q49" s="25">
        <v>1905</v>
      </c>
      <c r="R49" s="40">
        <v>1905026</v>
      </c>
      <c r="S49" s="39" t="s">
        <v>47</v>
      </c>
      <c r="T49" s="39" t="s">
        <v>450</v>
      </c>
      <c r="U49" s="369"/>
      <c r="V49" s="40" t="s">
        <v>48</v>
      </c>
      <c r="W49" s="369"/>
      <c r="X49" s="369"/>
      <c r="Y49" s="369"/>
      <c r="Z49" s="369"/>
      <c r="AA49" s="369"/>
      <c r="AB49" s="369"/>
      <c r="AC49" s="369"/>
      <c r="AD49" s="369"/>
      <c r="AE49" s="369"/>
      <c r="AF49" s="369"/>
      <c r="AG49" s="369"/>
      <c r="AH49" s="369"/>
      <c r="AI49" s="357" t="s">
        <v>204</v>
      </c>
      <c r="AJ49" s="40"/>
      <c r="AK49" s="40"/>
      <c r="AL49" s="40"/>
      <c r="AM49" s="40"/>
      <c r="AN49" s="40"/>
      <c r="AO49" s="40"/>
      <c r="AP49" s="33">
        <f>AR49+AS49+AT49+AU49</f>
        <v>8</v>
      </c>
      <c r="AQ49" s="359" t="s">
        <v>316</v>
      </c>
      <c r="AR49" s="25">
        <v>0</v>
      </c>
      <c r="AS49" s="25">
        <v>2</v>
      </c>
      <c r="AT49" s="25">
        <v>3</v>
      </c>
      <c r="AU49" s="25">
        <v>3</v>
      </c>
      <c r="AV49" s="392" t="s">
        <v>779</v>
      </c>
      <c r="AW49" s="392" t="s">
        <v>830</v>
      </c>
      <c r="AX49" s="40" t="s">
        <v>845</v>
      </c>
      <c r="AY49" s="25">
        <v>515</v>
      </c>
      <c r="AZ49" s="39" t="s">
        <v>729</v>
      </c>
      <c r="BA49" s="425" t="s">
        <v>846</v>
      </c>
      <c r="BB49" s="32" t="s">
        <v>847</v>
      </c>
      <c r="BC49" s="361" t="s">
        <v>683</v>
      </c>
      <c r="BD49" s="40" t="s">
        <v>731</v>
      </c>
      <c r="BE49" s="426">
        <v>36745343.090000004</v>
      </c>
      <c r="BF49" s="32" t="s">
        <v>848</v>
      </c>
      <c r="BG49" s="364" t="s">
        <v>841</v>
      </c>
      <c r="BH49" s="365" t="s">
        <v>842</v>
      </c>
      <c r="BI49" s="427"/>
      <c r="BJ49" s="26" t="s">
        <v>843</v>
      </c>
      <c r="BK49" s="26" t="s">
        <v>844</v>
      </c>
      <c r="BL49" s="427"/>
      <c r="BM49" s="427"/>
      <c r="BN49" s="427"/>
      <c r="BO49" s="366">
        <f t="shared" si="2"/>
        <v>0</v>
      </c>
      <c r="BP49" s="427"/>
      <c r="BQ49" s="427"/>
      <c r="BR49" s="427"/>
      <c r="BS49" s="427"/>
      <c r="BT49" s="366">
        <f t="shared" si="4"/>
        <v>0</v>
      </c>
      <c r="BU49" s="427"/>
      <c r="BV49" s="359"/>
      <c r="BW49" s="370">
        <v>8</v>
      </c>
      <c r="BX49" s="359"/>
      <c r="BY49" s="366">
        <f t="shared" si="6"/>
        <v>8</v>
      </c>
      <c r="BZ49" s="427"/>
      <c r="CA49" s="427"/>
      <c r="CB49" s="427"/>
      <c r="CC49" s="427"/>
      <c r="CD49" s="427"/>
      <c r="CE49" s="427"/>
      <c r="CF49" s="427"/>
      <c r="CG49" s="427"/>
      <c r="CH49" s="427"/>
      <c r="CI49" s="427"/>
      <c r="CJ49" s="370">
        <v>0</v>
      </c>
      <c r="CK49" s="370">
        <v>0</v>
      </c>
      <c r="CL49" s="370">
        <v>0</v>
      </c>
      <c r="CM49" s="428">
        <v>36745343.090000004</v>
      </c>
      <c r="CN49" s="374">
        <f t="shared" si="12"/>
        <v>0</v>
      </c>
      <c r="CO49" s="370">
        <f>CN49/BE49</f>
        <v>0</v>
      </c>
      <c r="CP49" s="370">
        <v>0</v>
      </c>
      <c r="CQ49" s="370">
        <v>0</v>
      </c>
      <c r="CR49" s="372">
        <v>0</v>
      </c>
      <c r="CS49" s="374">
        <v>0</v>
      </c>
      <c r="CT49" s="375">
        <f t="shared" ref="CT49:CT54" si="39">SUM(CP49:CR49)</f>
        <v>0</v>
      </c>
      <c r="CU49" s="370">
        <f>CT49/BE49</f>
        <v>0</v>
      </c>
      <c r="CV49" s="370">
        <v>0</v>
      </c>
      <c r="CW49" s="370">
        <v>36745343.090000004</v>
      </c>
      <c r="CX49" s="372">
        <v>0</v>
      </c>
      <c r="CY49" s="374">
        <v>0</v>
      </c>
      <c r="CZ49" s="375">
        <f>SUM(CV49:CX49)</f>
        <v>36745343.090000004</v>
      </c>
      <c r="DA49" s="370">
        <f>CZ49/BE49</f>
        <v>1</v>
      </c>
      <c r="DB49" s="370">
        <v>0</v>
      </c>
      <c r="DC49" s="370">
        <v>0</v>
      </c>
      <c r="DD49" s="372">
        <v>0</v>
      </c>
      <c r="DE49" s="374">
        <v>0</v>
      </c>
      <c r="DF49" s="375">
        <f t="shared" si="19"/>
        <v>0</v>
      </c>
      <c r="DG49" s="370">
        <f t="shared" si="20"/>
        <v>0</v>
      </c>
      <c r="DH49" s="376">
        <f t="shared" si="21"/>
        <v>36745343.090000004</v>
      </c>
      <c r="DI49" s="376">
        <f t="shared" si="22"/>
        <v>36745343.090000004</v>
      </c>
      <c r="DJ49" s="370">
        <f>DH49/BE49</f>
        <v>1</v>
      </c>
      <c r="DK49" s="370"/>
      <c r="DL49" s="377">
        <f t="shared" si="24"/>
        <v>36745343.090000004</v>
      </c>
      <c r="DM49" s="370">
        <f t="shared" si="25"/>
        <v>36745343.090000004</v>
      </c>
      <c r="DN49" s="370">
        <f t="shared" si="26"/>
        <v>0</v>
      </c>
      <c r="DO49" s="370">
        <f t="shared" si="27"/>
        <v>0</v>
      </c>
      <c r="DP49" s="370">
        <f t="shared" si="28"/>
        <v>0</v>
      </c>
      <c r="DQ49" s="378">
        <f t="shared" si="29"/>
        <v>36745343.090000004</v>
      </c>
      <c r="DR49" s="370">
        <f t="shared" si="30"/>
        <v>0</v>
      </c>
      <c r="DS49" s="370">
        <f t="shared" si="31"/>
        <v>0</v>
      </c>
      <c r="DT49" s="370">
        <f t="shared" si="32"/>
        <v>36745343.090000004</v>
      </c>
      <c r="DU49" s="370">
        <f t="shared" si="33"/>
        <v>0</v>
      </c>
      <c r="DV49" s="429"/>
      <c r="DW49" s="370">
        <v>36745343.090000004</v>
      </c>
      <c r="DX49" s="372">
        <v>0</v>
      </c>
      <c r="DY49" s="300">
        <v>0</v>
      </c>
      <c r="DZ49" s="381">
        <f t="shared" si="34"/>
        <v>3307080.8781000003</v>
      </c>
      <c r="EA49" s="382">
        <v>0</v>
      </c>
      <c r="EB49" s="430" t="s">
        <v>847</v>
      </c>
    </row>
    <row r="50" spans="1:133" ht="94.5" hidden="1" customHeight="1" thickTop="1" thickBot="1">
      <c r="A50" s="133">
        <v>1</v>
      </c>
      <c r="B50" s="411" t="s">
        <v>6</v>
      </c>
      <c r="C50" s="135" t="s">
        <v>304</v>
      </c>
      <c r="D50" s="135" t="s">
        <v>305</v>
      </c>
      <c r="E50" s="412" t="s">
        <v>114</v>
      </c>
      <c r="F50" s="347" t="s">
        <v>306</v>
      </c>
      <c r="G50" s="412" t="s">
        <v>442</v>
      </c>
      <c r="H50" s="347" t="s">
        <v>457</v>
      </c>
      <c r="I50" s="347" t="s">
        <v>849</v>
      </c>
      <c r="J50" s="32">
        <v>43</v>
      </c>
      <c r="K50" s="348" t="s">
        <v>850</v>
      </c>
      <c r="L50" s="40" t="s">
        <v>851</v>
      </c>
      <c r="M50" s="40" t="s">
        <v>839</v>
      </c>
      <c r="N50" s="349" t="s">
        <v>11</v>
      </c>
      <c r="O50" s="350">
        <v>19</v>
      </c>
      <c r="P50" s="392" t="s">
        <v>19</v>
      </c>
      <c r="Q50" s="2">
        <v>1905</v>
      </c>
      <c r="R50" s="32">
        <v>1905026</v>
      </c>
      <c r="S50" s="39" t="s">
        <v>47</v>
      </c>
      <c r="T50" s="39" t="s">
        <v>450</v>
      </c>
      <c r="U50" s="32">
        <v>190502600</v>
      </c>
      <c r="V50" s="40" t="s">
        <v>48</v>
      </c>
      <c r="W50" s="355" t="s">
        <v>316</v>
      </c>
      <c r="X50" s="385">
        <f>SUM(BE50:BE54)</f>
        <v>67204673.280000001</v>
      </c>
      <c r="Y50" s="355"/>
      <c r="Z50" s="355"/>
      <c r="AA50" s="355"/>
      <c r="AB50" s="355"/>
      <c r="AC50" s="355"/>
      <c r="AD50" s="355"/>
      <c r="AE50" s="355"/>
      <c r="AF50" s="355"/>
      <c r="AG50" s="355"/>
      <c r="AH50" s="356">
        <f t="shared" si="0"/>
        <v>67204673.280000001</v>
      </c>
      <c r="AI50" s="357" t="s">
        <v>205</v>
      </c>
      <c r="AJ50" s="80">
        <v>1</v>
      </c>
      <c r="AK50" s="80">
        <v>1</v>
      </c>
      <c r="AL50" s="80">
        <v>1</v>
      </c>
      <c r="AM50" s="80">
        <v>1</v>
      </c>
      <c r="AN50" s="80">
        <v>1</v>
      </c>
      <c r="AO50" s="358">
        <v>1</v>
      </c>
      <c r="AP50" s="33">
        <f t="shared" si="1"/>
        <v>2000</v>
      </c>
      <c r="AQ50" s="359" t="s">
        <v>316</v>
      </c>
      <c r="AR50" s="25">
        <v>0</v>
      </c>
      <c r="AS50" s="25">
        <v>400</v>
      </c>
      <c r="AT50" s="25">
        <v>800</v>
      </c>
      <c r="AU50" s="25">
        <v>800</v>
      </c>
      <c r="AV50" s="392" t="s">
        <v>827</v>
      </c>
      <c r="AW50" s="392" t="s">
        <v>769</v>
      </c>
      <c r="AX50" s="39" t="s">
        <v>852</v>
      </c>
      <c r="AY50" s="25">
        <v>387</v>
      </c>
      <c r="AZ50" s="39" t="s">
        <v>729</v>
      </c>
      <c r="BA50" s="40" t="s">
        <v>47</v>
      </c>
      <c r="BB50" s="360" t="s">
        <v>730</v>
      </c>
      <c r="BC50" s="361" t="s">
        <v>683</v>
      </c>
      <c r="BD50" s="40" t="s">
        <v>731</v>
      </c>
      <c r="BE50" s="391">
        <v>14093760</v>
      </c>
      <c r="BF50" s="363" t="s">
        <v>771</v>
      </c>
      <c r="BG50" s="364" t="s">
        <v>853</v>
      </c>
      <c r="BH50" s="365" t="s">
        <v>854</v>
      </c>
      <c r="BI50" s="365"/>
      <c r="BJ50" s="26" t="s">
        <v>855</v>
      </c>
      <c r="BK50" s="26" t="s">
        <v>856</v>
      </c>
      <c r="BL50" s="359">
        <v>0</v>
      </c>
      <c r="BM50" s="359">
        <v>0</v>
      </c>
      <c r="BN50" s="359">
        <v>0</v>
      </c>
      <c r="BO50" s="366">
        <f t="shared" si="2"/>
        <v>0</v>
      </c>
      <c r="BP50" s="367">
        <f t="shared" si="3"/>
        <v>0</v>
      </c>
      <c r="BQ50" s="359">
        <v>0</v>
      </c>
      <c r="BR50" s="359">
        <v>251</v>
      </c>
      <c r="BS50" s="359">
        <v>472</v>
      </c>
      <c r="BT50" s="366">
        <f t="shared" si="4"/>
        <v>723</v>
      </c>
      <c r="BU50" s="367">
        <f t="shared" si="5"/>
        <v>0.36149999999999999</v>
      </c>
      <c r="BV50" s="359">
        <v>334</v>
      </c>
      <c r="BW50" s="359">
        <v>259</v>
      </c>
      <c r="BX50" s="359">
        <v>242</v>
      </c>
      <c r="BY50" s="366">
        <f t="shared" si="6"/>
        <v>835</v>
      </c>
      <c r="BZ50" s="367">
        <f t="shared" si="7"/>
        <v>0.41749999999999998</v>
      </c>
      <c r="CA50" s="359">
        <v>0</v>
      </c>
      <c r="CB50" s="359">
        <v>0</v>
      </c>
      <c r="CC50" s="359">
        <v>0</v>
      </c>
      <c r="CD50" s="366">
        <f t="shared" si="8"/>
        <v>0</v>
      </c>
      <c r="CE50" s="367">
        <f t="shared" si="9"/>
        <v>0</v>
      </c>
      <c r="CF50" s="368">
        <f t="shared" si="10"/>
        <v>1558</v>
      </c>
      <c r="CG50" s="359">
        <f t="shared" si="11"/>
        <v>0.77900000000000003</v>
      </c>
      <c r="CH50" s="369"/>
      <c r="CI50" s="369"/>
      <c r="CJ50" s="370">
        <v>0</v>
      </c>
      <c r="CK50" s="370">
        <v>0</v>
      </c>
      <c r="CL50" s="370">
        <v>0</v>
      </c>
      <c r="CM50" s="394">
        <v>14093760</v>
      </c>
      <c r="CN50" s="374">
        <f t="shared" si="12"/>
        <v>0</v>
      </c>
      <c r="CO50" s="370">
        <f t="shared" si="13"/>
        <v>0</v>
      </c>
      <c r="CP50" s="370">
        <v>0</v>
      </c>
      <c r="CQ50" s="372">
        <v>0</v>
      </c>
      <c r="CR50" s="372">
        <v>1768766.8800000001</v>
      </c>
      <c r="CS50" s="374">
        <v>0</v>
      </c>
      <c r="CT50" s="375">
        <f t="shared" si="39"/>
        <v>1768766.8800000001</v>
      </c>
      <c r="CU50" s="370">
        <f t="shared" si="15"/>
        <v>0.1255</v>
      </c>
      <c r="CV50" s="370">
        <v>3326127.36</v>
      </c>
      <c r="CW50" s="370">
        <v>2353657.92</v>
      </c>
      <c r="CX50" s="372">
        <v>1825141.92</v>
      </c>
      <c r="CY50" s="374">
        <v>0</v>
      </c>
      <c r="CZ50" s="375">
        <f t="shared" si="16"/>
        <v>7504927.1999999993</v>
      </c>
      <c r="DA50" s="370">
        <f t="shared" si="17"/>
        <v>0.53249999999999997</v>
      </c>
      <c r="DB50" s="370">
        <v>1705344.96</v>
      </c>
      <c r="DC50" s="370">
        <v>1923798.22</v>
      </c>
      <c r="DD50" s="372">
        <v>0</v>
      </c>
      <c r="DE50" s="374">
        <v>0</v>
      </c>
      <c r="DF50" s="375">
        <f t="shared" si="19"/>
        <v>3629143.1799999997</v>
      </c>
      <c r="DG50" s="370">
        <f t="shared" si="20"/>
        <v>0.25749999858093225</v>
      </c>
      <c r="DH50" s="376">
        <f t="shared" si="21"/>
        <v>14093760</v>
      </c>
      <c r="DI50" s="376">
        <f t="shared" si="22"/>
        <v>12902837.26</v>
      </c>
      <c r="DJ50" s="370">
        <f t="shared" si="23"/>
        <v>1</v>
      </c>
      <c r="DK50" s="370"/>
      <c r="DL50" s="377">
        <f t="shared" si="24"/>
        <v>14093760</v>
      </c>
      <c r="DM50" s="370">
        <f t="shared" si="25"/>
        <v>14093760</v>
      </c>
      <c r="DN50" s="370">
        <f t="shared" si="26"/>
        <v>0</v>
      </c>
      <c r="DO50" s="370">
        <f t="shared" si="27"/>
        <v>0</v>
      </c>
      <c r="DP50" s="370">
        <f t="shared" si="28"/>
        <v>0</v>
      </c>
      <c r="DQ50" s="378">
        <f t="shared" si="29"/>
        <v>12902837.26</v>
      </c>
      <c r="DR50" s="370">
        <f t="shared" si="30"/>
        <v>0</v>
      </c>
      <c r="DS50" s="370">
        <f t="shared" si="31"/>
        <v>1768766.8800000001</v>
      </c>
      <c r="DT50" s="370">
        <f t="shared" si="32"/>
        <v>7504927.1999999993</v>
      </c>
      <c r="DU50" s="370">
        <f t="shared" si="33"/>
        <v>3629143.1799999997</v>
      </c>
      <c r="DW50" s="370">
        <v>2353657.92</v>
      </c>
      <c r="DX50" s="372">
        <v>1825141.92</v>
      </c>
      <c r="DY50" s="300">
        <v>0</v>
      </c>
      <c r="DZ50" s="381">
        <f t="shared" si="34"/>
        <v>1268438.3999999999</v>
      </c>
      <c r="EA50" s="573">
        <f t="shared" si="35"/>
        <v>15362198.4</v>
      </c>
      <c r="EB50" s="608"/>
    </row>
    <row r="51" spans="1:133" ht="104.25" hidden="1" customHeight="1" thickTop="1" thickBot="1">
      <c r="A51" s="133">
        <v>1</v>
      </c>
      <c r="B51" s="411" t="s">
        <v>6</v>
      </c>
      <c r="C51" s="135" t="s">
        <v>304</v>
      </c>
      <c r="D51" s="135" t="s">
        <v>305</v>
      </c>
      <c r="E51" s="412" t="s">
        <v>114</v>
      </c>
      <c r="F51" s="347" t="s">
        <v>306</v>
      </c>
      <c r="G51" s="412" t="s">
        <v>442</v>
      </c>
      <c r="H51" s="347" t="s">
        <v>457</v>
      </c>
      <c r="I51" s="347" t="s">
        <v>849</v>
      </c>
      <c r="J51" s="32">
        <v>43</v>
      </c>
      <c r="K51" s="348" t="s">
        <v>850</v>
      </c>
      <c r="L51" s="40" t="s">
        <v>851</v>
      </c>
      <c r="M51" s="40" t="s">
        <v>839</v>
      </c>
      <c r="N51" s="349" t="s">
        <v>11</v>
      </c>
      <c r="O51" s="350">
        <v>19</v>
      </c>
      <c r="P51" s="392" t="s">
        <v>19</v>
      </c>
      <c r="Q51" s="2">
        <v>1905</v>
      </c>
      <c r="R51" s="32">
        <v>1905026</v>
      </c>
      <c r="S51" s="39" t="s">
        <v>47</v>
      </c>
      <c r="T51" s="39" t="s">
        <v>450</v>
      </c>
      <c r="U51" s="32">
        <v>190502600</v>
      </c>
      <c r="V51" s="40" t="s">
        <v>48</v>
      </c>
      <c r="W51" s="355" t="s">
        <v>316</v>
      </c>
      <c r="X51" s="355"/>
      <c r="Y51" s="355"/>
      <c r="Z51" s="355"/>
      <c r="AA51" s="355"/>
      <c r="AB51" s="355"/>
      <c r="AC51" s="355"/>
      <c r="AD51" s="355"/>
      <c r="AE51" s="355"/>
      <c r="AF51" s="355"/>
      <c r="AG51" s="355"/>
      <c r="AH51" s="356">
        <f t="shared" si="0"/>
        <v>0</v>
      </c>
      <c r="AI51" s="357" t="s">
        <v>206</v>
      </c>
      <c r="AJ51" s="80">
        <v>1</v>
      </c>
      <c r="AK51" s="80">
        <v>1</v>
      </c>
      <c r="AL51" s="80">
        <v>1</v>
      </c>
      <c r="AM51" s="80">
        <v>1</v>
      </c>
      <c r="AN51" s="80">
        <v>1</v>
      </c>
      <c r="AO51" s="358">
        <v>1</v>
      </c>
      <c r="AP51" s="33">
        <f t="shared" si="1"/>
        <v>100</v>
      </c>
      <c r="AQ51" s="359" t="s">
        <v>707</v>
      </c>
      <c r="AR51" s="25">
        <v>0</v>
      </c>
      <c r="AS51" s="25">
        <v>33</v>
      </c>
      <c r="AT51" s="25">
        <v>34</v>
      </c>
      <c r="AU51" s="25">
        <v>33</v>
      </c>
      <c r="AV51" s="392" t="s">
        <v>779</v>
      </c>
      <c r="AW51" s="392" t="s">
        <v>769</v>
      </c>
      <c r="AX51" s="39" t="s">
        <v>852</v>
      </c>
      <c r="AY51" s="25">
        <v>387</v>
      </c>
      <c r="AZ51" s="39" t="s">
        <v>729</v>
      </c>
      <c r="BA51" s="40" t="s">
        <v>47</v>
      </c>
      <c r="BB51" s="360" t="s">
        <v>730</v>
      </c>
      <c r="BC51" s="361" t="s">
        <v>683</v>
      </c>
      <c r="BD51" s="40" t="s">
        <v>731</v>
      </c>
      <c r="BE51" s="391">
        <v>10563637.76</v>
      </c>
      <c r="BF51" s="363" t="s">
        <v>771</v>
      </c>
      <c r="BG51" s="364" t="s">
        <v>853</v>
      </c>
      <c r="BH51" s="365" t="s">
        <v>854</v>
      </c>
      <c r="BI51" s="365"/>
      <c r="BJ51" s="26" t="s">
        <v>855</v>
      </c>
      <c r="BK51" s="26" t="s">
        <v>856</v>
      </c>
      <c r="BL51" s="359">
        <v>0</v>
      </c>
      <c r="BM51" s="359">
        <v>0</v>
      </c>
      <c r="BN51" s="359">
        <v>0</v>
      </c>
      <c r="BO51" s="366">
        <f t="shared" si="2"/>
        <v>0</v>
      </c>
      <c r="BP51" s="367">
        <f t="shared" si="3"/>
        <v>0</v>
      </c>
      <c r="BQ51" s="359">
        <v>13.33</v>
      </c>
      <c r="BR51" s="413">
        <v>13.33</v>
      </c>
      <c r="BS51" s="413">
        <v>13.34</v>
      </c>
      <c r="BT51" s="366">
        <f t="shared" si="4"/>
        <v>40</v>
      </c>
      <c r="BU51" s="367">
        <f t="shared" si="5"/>
        <v>0.4</v>
      </c>
      <c r="BV51" s="413">
        <v>13</v>
      </c>
      <c r="BW51" s="413">
        <v>13</v>
      </c>
      <c r="BX51" s="413">
        <v>14</v>
      </c>
      <c r="BY51" s="366">
        <f t="shared" si="6"/>
        <v>40</v>
      </c>
      <c r="BZ51" s="367">
        <f t="shared" si="7"/>
        <v>0.4</v>
      </c>
      <c r="CA51" s="359">
        <v>0</v>
      </c>
      <c r="CB51" s="359">
        <v>0</v>
      </c>
      <c r="CC51" s="359">
        <v>0</v>
      </c>
      <c r="CD51" s="366">
        <f t="shared" si="8"/>
        <v>0</v>
      </c>
      <c r="CE51" s="367">
        <f t="shared" si="9"/>
        <v>0</v>
      </c>
      <c r="CF51" s="368">
        <f t="shared" si="10"/>
        <v>80</v>
      </c>
      <c r="CG51" s="359">
        <f t="shared" si="11"/>
        <v>0.8</v>
      </c>
      <c r="CH51" s="369"/>
      <c r="CI51" s="369"/>
      <c r="CJ51" s="370">
        <v>0</v>
      </c>
      <c r="CK51" s="370">
        <v>0</v>
      </c>
      <c r="CL51" s="370">
        <v>0</v>
      </c>
      <c r="CM51" s="394">
        <v>10563637.76</v>
      </c>
      <c r="CN51" s="374">
        <f t="shared" si="12"/>
        <v>0</v>
      </c>
      <c r="CO51" s="370">
        <f t="shared" si="13"/>
        <v>0</v>
      </c>
      <c r="CP51" s="370">
        <v>0</v>
      </c>
      <c r="CQ51" s="372">
        <v>1408485.03</v>
      </c>
      <c r="CR51" s="372">
        <v>1408485.03</v>
      </c>
      <c r="CS51" s="374">
        <v>0</v>
      </c>
      <c r="CT51" s="375">
        <f t="shared" si="39"/>
        <v>2816970.06</v>
      </c>
      <c r="CU51" s="370">
        <f t="shared" si="15"/>
        <v>0.26666666578313264</v>
      </c>
      <c r="CV51" s="370">
        <v>1408485.0346666665</v>
      </c>
      <c r="CW51" s="370">
        <v>1408485.0346666665</v>
      </c>
      <c r="CX51" s="372">
        <v>1408485.0346666665</v>
      </c>
      <c r="CY51" s="374">
        <v>0</v>
      </c>
      <c r="CZ51" s="375">
        <f t="shared" si="16"/>
        <v>4225455.1039999994</v>
      </c>
      <c r="DA51" s="370">
        <f t="shared" si="17"/>
        <v>0.39999999999999997</v>
      </c>
      <c r="DB51" s="370">
        <v>1408485.0346666665</v>
      </c>
      <c r="DC51" s="370">
        <v>1408485.0346666665</v>
      </c>
      <c r="DD51" s="372">
        <v>0</v>
      </c>
      <c r="DE51" s="374">
        <v>0</v>
      </c>
      <c r="DF51" s="375">
        <f t="shared" si="19"/>
        <v>2816970.0693333331</v>
      </c>
      <c r="DG51" s="370">
        <f t="shared" si="20"/>
        <v>0.26666666666666666</v>
      </c>
      <c r="DH51" s="376">
        <f t="shared" si="21"/>
        <v>10563637.76</v>
      </c>
      <c r="DI51" s="376">
        <f t="shared" si="22"/>
        <v>9859395.2333333325</v>
      </c>
      <c r="DJ51" s="370">
        <f t="shared" si="23"/>
        <v>1</v>
      </c>
      <c r="DK51" s="370"/>
      <c r="DL51" s="377">
        <f t="shared" si="24"/>
        <v>10563637.76</v>
      </c>
      <c r="DM51" s="370">
        <f t="shared" si="25"/>
        <v>10563637.76</v>
      </c>
      <c r="DN51" s="370">
        <f t="shared" si="26"/>
        <v>0</v>
      </c>
      <c r="DO51" s="370">
        <f t="shared" si="27"/>
        <v>0</v>
      </c>
      <c r="DP51" s="370">
        <f t="shared" si="28"/>
        <v>0</v>
      </c>
      <c r="DQ51" s="378">
        <f t="shared" si="29"/>
        <v>9859395.2333333325</v>
      </c>
      <c r="DR51" s="370">
        <f t="shared" si="30"/>
        <v>0</v>
      </c>
      <c r="DS51" s="370">
        <f t="shared" si="31"/>
        <v>2816970.06</v>
      </c>
      <c r="DT51" s="370">
        <f t="shared" si="32"/>
        <v>4225455.1039999994</v>
      </c>
      <c r="DU51" s="370">
        <f t="shared" si="33"/>
        <v>2816970.0693333331</v>
      </c>
      <c r="DW51" s="370">
        <v>1408485.0346666665</v>
      </c>
      <c r="DX51" s="372">
        <v>1408485.0346666665</v>
      </c>
      <c r="DY51" s="431">
        <v>1408485.0346666665</v>
      </c>
      <c r="DZ51" s="381">
        <f t="shared" si="34"/>
        <v>950727.39839999995</v>
      </c>
      <c r="EA51" s="573">
        <f t="shared" si="35"/>
        <v>11514365.158399999</v>
      </c>
      <c r="EB51" s="608"/>
    </row>
    <row r="52" spans="1:133" ht="90.75" hidden="1" customHeight="1" thickTop="1" thickBot="1">
      <c r="A52" s="133">
        <v>1</v>
      </c>
      <c r="B52" s="411" t="s">
        <v>6</v>
      </c>
      <c r="C52" s="135" t="s">
        <v>304</v>
      </c>
      <c r="D52" s="135" t="s">
        <v>305</v>
      </c>
      <c r="E52" s="412" t="s">
        <v>114</v>
      </c>
      <c r="F52" s="347" t="s">
        <v>306</v>
      </c>
      <c r="G52" s="412" t="s">
        <v>442</v>
      </c>
      <c r="H52" s="347" t="s">
        <v>457</v>
      </c>
      <c r="I52" s="347" t="s">
        <v>849</v>
      </c>
      <c r="J52" s="32">
        <v>43</v>
      </c>
      <c r="K52" s="348" t="s">
        <v>850</v>
      </c>
      <c r="L52" s="40" t="s">
        <v>851</v>
      </c>
      <c r="M52" s="40" t="s">
        <v>839</v>
      </c>
      <c r="N52" s="349" t="s">
        <v>11</v>
      </c>
      <c r="O52" s="350">
        <v>19</v>
      </c>
      <c r="P52" s="392" t="s">
        <v>19</v>
      </c>
      <c r="Q52" s="2">
        <v>1905</v>
      </c>
      <c r="R52" s="32">
        <v>1905026</v>
      </c>
      <c r="S52" s="39" t="s">
        <v>47</v>
      </c>
      <c r="T52" s="39" t="s">
        <v>450</v>
      </c>
      <c r="U52" s="32">
        <v>190502600</v>
      </c>
      <c r="V52" s="40" t="s">
        <v>48</v>
      </c>
      <c r="W52" s="355" t="s">
        <v>316</v>
      </c>
      <c r="X52" s="355"/>
      <c r="Y52" s="355"/>
      <c r="Z52" s="355"/>
      <c r="AA52" s="355"/>
      <c r="AB52" s="355"/>
      <c r="AC52" s="355"/>
      <c r="AD52" s="355"/>
      <c r="AE52" s="355"/>
      <c r="AF52" s="355"/>
      <c r="AG52" s="355"/>
      <c r="AH52" s="356">
        <f t="shared" si="0"/>
        <v>0</v>
      </c>
      <c r="AI52" s="357" t="s">
        <v>207</v>
      </c>
      <c r="AJ52" s="80">
        <v>1</v>
      </c>
      <c r="AK52" s="80">
        <v>1</v>
      </c>
      <c r="AL52" s="80">
        <v>1</v>
      </c>
      <c r="AM52" s="80">
        <v>1</v>
      </c>
      <c r="AN52" s="80">
        <v>1</v>
      </c>
      <c r="AO52" s="358">
        <v>1</v>
      </c>
      <c r="AP52" s="33">
        <f t="shared" si="1"/>
        <v>10</v>
      </c>
      <c r="AQ52" s="359" t="s">
        <v>316</v>
      </c>
      <c r="AR52" s="25">
        <v>0</v>
      </c>
      <c r="AS52" s="25">
        <v>3</v>
      </c>
      <c r="AT52" s="25">
        <v>4</v>
      </c>
      <c r="AU52" s="25">
        <v>3</v>
      </c>
      <c r="AV52" s="392" t="s">
        <v>779</v>
      </c>
      <c r="AW52" s="392" t="s">
        <v>769</v>
      </c>
      <c r="AX52" s="39" t="s">
        <v>852</v>
      </c>
      <c r="AY52" s="25">
        <v>387</v>
      </c>
      <c r="AZ52" s="39" t="s">
        <v>729</v>
      </c>
      <c r="BA52" s="40" t="s">
        <v>47</v>
      </c>
      <c r="BB52" s="360" t="s">
        <v>730</v>
      </c>
      <c r="BC52" s="361" t="s">
        <v>683</v>
      </c>
      <c r="BD52" s="40" t="s">
        <v>731</v>
      </c>
      <c r="BE52" s="391">
        <v>10563637.76</v>
      </c>
      <c r="BF52" s="363" t="s">
        <v>771</v>
      </c>
      <c r="BG52" s="364" t="s">
        <v>853</v>
      </c>
      <c r="BH52" s="365" t="s">
        <v>854</v>
      </c>
      <c r="BI52" s="365"/>
      <c r="BJ52" s="26" t="s">
        <v>855</v>
      </c>
      <c r="BK52" s="26" t="s">
        <v>856</v>
      </c>
      <c r="BL52" s="359">
        <v>0</v>
      </c>
      <c r="BM52" s="359">
        <v>0</v>
      </c>
      <c r="BN52" s="359">
        <v>0</v>
      </c>
      <c r="BO52" s="366">
        <f t="shared" si="2"/>
        <v>0</v>
      </c>
      <c r="BP52" s="367">
        <f t="shared" si="3"/>
        <v>0</v>
      </c>
      <c r="BQ52" s="359">
        <v>2</v>
      </c>
      <c r="BR52" s="359">
        <v>1</v>
      </c>
      <c r="BS52" s="359">
        <v>1</v>
      </c>
      <c r="BT52" s="366">
        <f t="shared" si="4"/>
        <v>4</v>
      </c>
      <c r="BU52" s="367">
        <f t="shared" si="5"/>
        <v>0.4</v>
      </c>
      <c r="BV52" s="359">
        <v>2</v>
      </c>
      <c r="BW52" s="359">
        <v>2</v>
      </c>
      <c r="BX52" s="359">
        <v>0</v>
      </c>
      <c r="BY52" s="366">
        <f t="shared" si="6"/>
        <v>4</v>
      </c>
      <c r="BZ52" s="367">
        <f t="shared" si="7"/>
        <v>0.4</v>
      </c>
      <c r="CA52" s="359">
        <v>0</v>
      </c>
      <c r="CB52" s="359">
        <v>0</v>
      </c>
      <c r="CC52" s="359">
        <v>0</v>
      </c>
      <c r="CD52" s="366">
        <f t="shared" si="8"/>
        <v>0</v>
      </c>
      <c r="CE52" s="367">
        <f t="shared" si="9"/>
        <v>0</v>
      </c>
      <c r="CF52" s="368">
        <f t="shared" si="10"/>
        <v>8</v>
      </c>
      <c r="CG52" s="359">
        <f t="shared" si="11"/>
        <v>0.8</v>
      </c>
      <c r="CH52" s="369"/>
      <c r="CI52" s="369"/>
      <c r="CJ52" s="370">
        <v>0</v>
      </c>
      <c r="CK52" s="370">
        <v>0</v>
      </c>
      <c r="CL52" s="370">
        <v>0</v>
      </c>
      <c r="CM52" s="394">
        <v>10563637.76</v>
      </c>
      <c r="CN52" s="374">
        <f t="shared" si="12"/>
        <v>0</v>
      </c>
      <c r="CO52" s="370">
        <f t="shared" si="13"/>
        <v>0</v>
      </c>
      <c r="CP52" s="370">
        <v>0</v>
      </c>
      <c r="CQ52" s="372">
        <v>2112727.5499999998</v>
      </c>
      <c r="CR52" s="372">
        <v>1056363.7760000001</v>
      </c>
      <c r="CS52" s="374">
        <v>0</v>
      </c>
      <c r="CT52" s="375">
        <f t="shared" si="39"/>
        <v>3169091.3259999999</v>
      </c>
      <c r="CU52" s="370">
        <f t="shared" si="15"/>
        <v>0.29999999981067127</v>
      </c>
      <c r="CV52" s="370">
        <v>1056363.7760000001</v>
      </c>
      <c r="CW52" s="370">
        <v>2112727.5520000001</v>
      </c>
      <c r="CX52" s="372">
        <v>2112727.5520000001</v>
      </c>
      <c r="CY52" s="374">
        <v>0</v>
      </c>
      <c r="CZ52" s="375">
        <f t="shared" si="16"/>
        <v>5281818.8800000008</v>
      </c>
      <c r="DA52" s="370">
        <f t="shared" si="17"/>
        <v>0.50000000000000011</v>
      </c>
      <c r="DB52" s="370">
        <v>0</v>
      </c>
      <c r="DC52" s="370">
        <v>0</v>
      </c>
      <c r="DD52" s="372">
        <v>0</v>
      </c>
      <c r="DE52" s="374">
        <v>0</v>
      </c>
      <c r="DF52" s="375">
        <f t="shared" si="19"/>
        <v>0</v>
      </c>
      <c r="DG52" s="370">
        <f t="shared" si="20"/>
        <v>0</v>
      </c>
      <c r="DH52" s="376">
        <f t="shared" si="21"/>
        <v>10563637.76</v>
      </c>
      <c r="DI52" s="376">
        <f t="shared" si="22"/>
        <v>8450910.2060000002</v>
      </c>
      <c r="DJ52" s="370">
        <f t="shared" si="23"/>
        <v>1</v>
      </c>
      <c r="DK52" s="370"/>
      <c r="DL52" s="377">
        <f t="shared" si="24"/>
        <v>10563637.76</v>
      </c>
      <c r="DM52" s="370">
        <f t="shared" si="25"/>
        <v>10563637.76</v>
      </c>
      <c r="DN52" s="370">
        <f t="shared" si="26"/>
        <v>0</v>
      </c>
      <c r="DO52" s="370">
        <f t="shared" si="27"/>
        <v>0</v>
      </c>
      <c r="DP52" s="370">
        <f t="shared" si="28"/>
        <v>0</v>
      </c>
      <c r="DQ52" s="378">
        <f t="shared" si="29"/>
        <v>8450910.2060000002</v>
      </c>
      <c r="DR52" s="370">
        <f t="shared" si="30"/>
        <v>0</v>
      </c>
      <c r="DS52" s="370">
        <f t="shared" si="31"/>
        <v>3169091.3259999999</v>
      </c>
      <c r="DT52" s="370">
        <f t="shared" si="32"/>
        <v>5281818.8800000008</v>
      </c>
      <c r="DU52" s="370">
        <f t="shared" si="33"/>
        <v>0</v>
      </c>
      <c r="DW52" s="370">
        <v>2112727.5520000001</v>
      </c>
      <c r="DX52" s="372">
        <v>2112727.5520000001</v>
      </c>
      <c r="DY52" s="300">
        <v>0</v>
      </c>
      <c r="DZ52" s="381">
        <f t="shared" si="34"/>
        <v>950727.39839999995</v>
      </c>
      <c r="EA52" s="573">
        <f t="shared" si="35"/>
        <v>11514365.158399999</v>
      </c>
      <c r="EB52" s="608"/>
    </row>
    <row r="53" spans="1:133" ht="72.75" hidden="1" customHeight="1" thickTop="1" thickBot="1">
      <c r="A53" s="133">
        <v>1</v>
      </c>
      <c r="B53" s="411" t="s">
        <v>6</v>
      </c>
      <c r="C53" s="135" t="s">
        <v>304</v>
      </c>
      <c r="D53" s="135" t="s">
        <v>305</v>
      </c>
      <c r="E53" s="412" t="s">
        <v>114</v>
      </c>
      <c r="F53" s="347" t="s">
        <v>306</v>
      </c>
      <c r="G53" s="412" t="s">
        <v>442</v>
      </c>
      <c r="H53" s="347" t="s">
        <v>457</v>
      </c>
      <c r="I53" s="347" t="s">
        <v>849</v>
      </c>
      <c r="J53" s="32">
        <v>43</v>
      </c>
      <c r="K53" s="348" t="s">
        <v>850</v>
      </c>
      <c r="L53" s="40" t="s">
        <v>851</v>
      </c>
      <c r="M53" s="40" t="s">
        <v>839</v>
      </c>
      <c r="N53" s="349" t="s">
        <v>11</v>
      </c>
      <c r="O53" s="350">
        <v>19</v>
      </c>
      <c r="P53" s="392" t="s">
        <v>19</v>
      </c>
      <c r="Q53" s="2">
        <v>1905</v>
      </c>
      <c r="R53" s="32">
        <v>1905026</v>
      </c>
      <c r="S53" s="39" t="s">
        <v>47</v>
      </c>
      <c r="T53" s="39" t="s">
        <v>450</v>
      </c>
      <c r="U53" s="32">
        <v>190502600</v>
      </c>
      <c r="V53" s="40" t="s">
        <v>48</v>
      </c>
      <c r="W53" s="355" t="s">
        <v>316</v>
      </c>
      <c r="X53" s="355"/>
      <c r="Y53" s="355"/>
      <c r="Z53" s="355"/>
      <c r="AA53" s="355"/>
      <c r="AB53" s="355"/>
      <c r="AC53" s="355"/>
      <c r="AD53" s="355"/>
      <c r="AE53" s="355"/>
      <c r="AF53" s="355"/>
      <c r="AG53" s="355"/>
      <c r="AH53" s="356">
        <f t="shared" si="0"/>
        <v>0</v>
      </c>
      <c r="AI53" s="357" t="s">
        <v>208</v>
      </c>
      <c r="AJ53" s="80">
        <v>1</v>
      </c>
      <c r="AK53" s="80">
        <v>1</v>
      </c>
      <c r="AL53" s="80">
        <v>1</v>
      </c>
      <c r="AM53" s="80">
        <v>1</v>
      </c>
      <c r="AN53" s="80">
        <v>1</v>
      </c>
      <c r="AO53" s="358">
        <v>1</v>
      </c>
      <c r="AP53" s="33">
        <f t="shared" si="1"/>
        <v>4</v>
      </c>
      <c r="AQ53" s="359" t="s">
        <v>316</v>
      </c>
      <c r="AR53" s="25">
        <v>0</v>
      </c>
      <c r="AS53" s="25">
        <v>1</v>
      </c>
      <c r="AT53" s="25">
        <v>2</v>
      </c>
      <c r="AU53" s="25">
        <v>1</v>
      </c>
      <c r="AV53" s="392" t="s">
        <v>779</v>
      </c>
      <c r="AW53" s="392" t="s">
        <v>769</v>
      </c>
      <c r="AX53" s="39" t="s">
        <v>852</v>
      </c>
      <c r="AY53" s="25">
        <v>387</v>
      </c>
      <c r="AZ53" s="39" t="s">
        <v>729</v>
      </c>
      <c r="BA53" s="40" t="s">
        <v>47</v>
      </c>
      <c r="BB53" s="360" t="s">
        <v>730</v>
      </c>
      <c r="BC53" s="361" t="s">
        <v>683</v>
      </c>
      <c r="BD53" s="40" t="s">
        <v>731</v>
      </c>
      <c r="BE53" s="421">
        <v>8663637.7599999998</v>
      </c>
      <c r="BF53" s="363" t="s">
        <v>771</v>
      </c>
      <c r="BG53" s="364" t="s">
        <v>853</v>
      </c>
      <c r="BH53" s="365" t="s">
        <v>854</v>
      </c>
      <c r="BI53" s="365"/>
      <c r="BJ53" s="26" t="s">
        <v>855</v>
      </c>
      <c r="BK53" s="26" t="s">
        <v>856</v>
      </c>
      <c r="BL53" s="359">
        <v>0</v>
      </c>
      <c r="BM53" s="359">
        <v>0</v>
      </c>
      <c r="BN53" s="359">
        <v>0</v>
      </c>
      <c r="BO53" s="366">
        <f t="shared" si="2"/>
        <v>0</v>
      </c>
      <c r="BP53" s="367">
        <f t="shared" si="3"/>
        <v>0</v>
      </c>
      <c r="BQ53" s="359">
        <v>1</v>
      </c>
      <c r="BR53" s="359">
        <v>0</v>
      </c>
      <c r="BS53" s="359">
        <v>0</v>
      </c>
      <c r="BT53" s="366">
        <f t="shared" si="4"/>
        <v>1</v>
      </c>
      <c r="BU53" s="367">
        <f t="shared" si="5"/>
        <v>0.25</v>
      </c>
      <c r="BV53" s="359">
        <v>1</v>
      </c>
      <c r="BW53" s="359">
        <v>0</v>
      </c>
      <c r="BX53" s="359">
        <v>0</v>
      </c>
      <c r="BY53" s="366">
        <f t="shared" si="6"/>
        <v>1</v>
      </c>
      <c r="BZ53" s="367">
        <f t="shared" si="7"/>
        <v>0.25</v>
      </c>
      <c r="CA53" s="359">
        <v>0</v>
      </c>
      <c r="CB53" s="359">
        <v>0</v>
      </c>
      <c r="CC53" s="359">
        <v>0</v>
      </c>
      <c r="CD53" s="366">
        <f t="shared" si="8"/>
        <v>0</v>
      </c>
      <c r="CE53" s="367">
        <f t="shared" si="9"/>
        <v>0</v>
      </c>
      <c r="CF53" s="368">
        <f t="shared" si="10"/>
        <v>2</v>
      </c>
      <c r="CG53" s="359">
        <f t="shared" si="11"/>
        <v>0.5</v>
      </c>
      <c r="CH53" s="369"/>
      <c r="CI53" s="369"/>
      <c r="CJ53" s="370">
        <v>0</v>
      </c>
      <c r="CK53" s="370">
        <v>0</v>
      </c>
      <c r="CL53" s="370">
        <v>0</v>
      </c>
      <c r="CM53" s="375">
        <v>8663637.7599999998</v>
      </c>
      <c r="CN53" s="374">
        <f t="shared" si="12"/>
        <v>0</v>
      </c>
      <c r="CO53" s="370">
        <f t="shared" si="13"/>
        <v>0</v>
      </c>
      <c r="CP53" s="370">
        <v>0</v>
      </c>
      <c r="CQ53" s="370">
        <v>2165909.44</v>
      </c>
      <c r="CR53" s="372">
        <v>0</v>
      </c>
      <c r="CS53" s="374">
        <v>0</v>
      </c>
      <c r="CT53" s="375">
        <f t="shared" si="39"/>
        <v>2165909.44</v>
      </c>
      <c r="CU53" s="370">
        <f t="shared" si="15"/>
        <v>0.25</v>
      </c>
      <c r="CV53" s="370">
        <v>0</v>
      </c>
      <c r="CW53" s="370">
        <v>2165909.44</v>
      </c>
      <c r="CX53" s="372">
        <v>0</v>
      </c>
      <c r="CY53" s="374">
        <v>0</v>
      </c>
      <c r="CZ53" s="375">
        <f t="shared" si="16"/>
        <v>2165909.44</v>
      </c>
      <c r="DA53" s="370">
        <f t="shared" si="17"/>
        <v>0.25</v>
      </c>
      <c r="DB53" s="370">
        <v>0</v>
      </c>
      <c r="DC53" s="370">
        <v>2165909.44</v>
      </c>
      <c r="DD53" s="372">
        <v>0</v>
      </c>
      <c r="DE53" s="374">
        <v>0</v>
      </c>
      <c r="DF53" s="375">
        <f t="shared" si="19"/>
        <v>2165909.44</v>
      </c>
      <c r="DG53" s="370">
        <f t="shared" si="20"/>
        <v>0.25</v>
      </c>
      <c r="DH53" s="376">
        <f t="shared" si="21"/>
        <v>8663637.7599999998</v>
      </c>
      <c r="DI53" s="376">
        <f t="shared" si="22"/>
        <v>6497728.3200000003</v>
      </c>
      <c r="DJ53" s="370">
        <f t="shared" si="23"/>
        <v>1</v>
      </c>
      <c r="DK53" s="370"/>
      <c r="DL53" s="377">
        <f t="shared" si="24"/>
        <v>8663637.7599999998</v>
      </c>
      <c r="DM53" s="370">
        <f t="shared" si="25"/>
        <v>8663637.7599999998</v>
      </c>
      <c r="DN53" s="370">
        <f t="shared" si="26"/>
        <v>0</v>
      </c>
      <c r="DO53" s="370">
        <f t="shared" si="27"/>
        <v>0</v>
      </c>
      <c r="DP53" s="370">
        <f t="shared" si="28"/>
        <v>0</v>
      </c>
      <c r="DQ53" s="378">
        <f t="shared" si="29"/>
        <v>6497728.3200000003</v>
      </c>
      <c r="DR53" s="370">
        <f t="shared" si="30"/>
        <v>0</v>
      </c>
      <c r="DS53" s="370">
        <f t="shared" si="31"/>
        <v>2165909.44</v>
      </c>
      <c r="DT53" s="370">
        <f t="shared" si="32"/>
        <v>2165909.44</v>
      </c>
      <c r="DU53" s="370">
        <f t="shared" si="33"/>
        <v>2165909.44</v>
      </c>
      <c r="DW53" s="370">
        <v>2165909.44</v>
      </c>
      <c r="DX53" s="372">
        <v>0</v>
      </c>
      <c r="DY53" s="300">
        <v>0</v>
      </c>
      <c r="DZ53" s="381">
        <f t="shared" si="34"/>
        <v>779727.39839999995</v>
      </c>
      <c r="EA53" s="573">
        <f t="shared" si="35"/>
        <v>9443365.1583999991</v>
      </c>
      <c r="EB53" s="608"/>
    </row>
    <row r="54" spans="1:133" ht="130.5" hidden="1" customHeight="1" thickTop="1" thickBot="1">
      <c r="A54" s="133">
        <v>1</v>
      </c>
      <c r="B54" s="411" t="s">
        <v>6</v>
      </c>
      <c r="C54" s="135" t="s">
        <v>304</v>
      </c>
      <c r="D54" s="135" t="s">
        <v>305</v>
      </c>
      <c r="E54" s="412" t="s">
        <v>114</v>
      </c>
      <c r="F54" s="347" t="s">
        <v>306</v>
      </c>
      <c r="G54" s="412" t="s">
        <v>442</v>
      </c>
      <c r="H54" s="347" t="s">
        <v>457</v>
      </c>
      <c r="I54" s="347" t="s">
        <v>849</v>
      </c>
      <c r="J54" s="32">
        <v>43</v>
      </c>
      <c r="K54" s="348" t="s">
        <v>850</v>
      </c>
      <c r="L54" s="40" t="s">
        <v>851</v>
      </c>
      <c r="M54" s="40" t="s">
        <v>839</v>
      </c>
      <c r="N54" s="349" t="s">
        <v>11</v>
      </c>
      <c r="O54" s="350">
        <v>19</v>
      </c>
      <c r="P54" s="392" t="s">
        <v>19</v>
      </c>
      <c r="Q54" s="2">
        <v>1905</v>
      </c>
      <c r="R54" s="32">
        <v>1905026</v>
      </c>
      <c r="S54" s="39" t="s">
        <v>47</v>
      </c>
      <c r="T54" s="39" t="s">
        <v>450</v>
      </c>
      <c r="U54" s="32">
        <v>190502600</v>
      </c>
      <c r="V54" s="40" t="s">
        <v>48</v>
      </c>
      <c r="W54" s="355" t="s">
        <v>316</v>
      </c>
      <c r="X54" s="355"/>
      <c r="Y54" s="355"/>
      <c r="Z54" s="355"/>
      <c r="AA54" s="355"/>
      <c r="AB54" s="355"/>
      <c r="AC54" s="355"/>
      <c r="AD54" s="355"/>
      <c r="AE54" s="355"/>
      <c r="AF54" s="355"/>
      <c r="AG54" s="355"/>
      <c r="AH54" s="356">
        <f t="shared" si="0"/>
        <v>0</v>
      </c>
      <c r="AI54" s="357" t="s">
        <v>209</v>
      </c>
      <c r="AJ54" s="80">
        <v>1</v>
      </c>
      <c r="AK54" s="80">
        <v>1</v>
      </c>
      <c r="AL54" s="80">
        <v>1</v>
      </c>
      <c r="AM54" s="80">
        <v>1</v>
      </c>
      <c r="AN54" s="80">
        <v>1</v>
      </c>
      <c r="AO54" s="358">
        <v>1</v>
      </c>
      <c r="AP54" s="33">
        <f t="shared" si="1"/>
        <v>1</v>
      </c>
      <c r="AQ54" s="359" t="s">
        <v>316</v>
      </c>
      <c r="AR54" s="25">
        <v>0</v>
      </c>
      <c r="AS54" s="25">
        <v>0</v>
      </c>
      <c r="AT54" s="25">
        <v>1</v>
      </c>
      <c r="AU54" s="25">
        <v>0</v>
      </c>
      <c r="AV54" s="392" t="s">
        <v>779</v>
      </c>
      <c r="AW54" s="392" t="s">
        <v>740</v>
      </c>
      <c r="AX54" s="39" t="s">
        <v>852</v>
      </c>
      <c r="AY54" s="25">
        <v>387</v>
      </c>
      <c r="AZ54" s="39" t="s">
        <v>729</v>
      </c>
      <c r="BA54" s="40" t="s">
        <v>47</v>
      </c>
      <c r="BB54" s="360" t="s">
        <v>730</v>
      </c>
      <c r="BC54" s="361" t="s">
        <v>683</v>
      </c>
      <c r="BD54" s="40" t="s">
        <v>731</v>
      </c>
      <c r="BE54" s="391">
        <v>23320000</v>
      </c>
      <c r="BF54" s="363" t="s">
        <v>771</v>
      </c>
      <c r="BG54" s="364" t="s">
        <v>853</v>
      </c>
      <c r="BH54" s="365" t="s">
        <v>854</v>
      </c>
      <c r="BI54" s="365"/>
      <c r="BJ54" s="26" t="s">
        <v>855</v>
      </c>
      <c r="BK54" s="26" t="s">
        <v>856</v>
      </c>
      <c r="BL54" s="359">
        <v>0</v>
      </c>
      <c r="BM54" s="359">
        <v>0</v>
      </c>
      <c r="BN54" s="359">
        <v>0</v>
      </c>
      <c r="BO54" s="366">
        <f t="shared" si="2"/>
        <v>0</v>
      </c>
      <c r="BP54" s="367">
        <f t="shared" si="3"/>
        <v>0</v>
      </c>
      <c r="BQ54" s="359">
        <v>0</v>
      </c>
      <c r="BR54" s="359">
        <v>0</v>
      </c>
      <c r="BS54" s="359">
        <v>0</v>
      </c>
      <c r="BT54" s="366">
        <f t="shared" si="4"/>
        <v>0</v>
      </c>
      <c r="BU54" s="367">
        <f t="shared" si="5"/>
        <v>0</v>
      </c>
      <c r="BV54" s="432">
        <v>0.2</v>
      </c>
      <c r="BW54" s="432">
        <v>0.43</v>
      </c>
      <c r="BX54" s="415">
        <v>0.37</v>
      </c>
      <c r="BY54" s="366">
        <f t="shared" si="6"/>
        <v>1</v>
      </c>
      <c r="BZ54" s="367">
        <f t="shared" si="7"/>
        <v>1</v>
      </c>
      <c r="CA54" s="359">
        <v>0</v>
      </c>
      <c r="CB54" s="359">
        <v>0</v>
      </c>
      <c r="CC54" s="359">
        <v>0</v>
      </c>
      <c r="CD54" s="366">
        <f t="shared" si="8"/>
        <v>0</v>
      </c>
      <c r="CE54" s="367" t="e">
        <f t="shared" si="9"/>
        <v>#DIV/0!</v>
      </c>
      <c r="CF54" s="368">
        <f t="shared" si="10"/>
        <v>1</v>
      </c>
      <c r="CG54" s="359">
        <f t="shared" si="11"/>
        <v>1</v>
      </c>
      <c r="CH54" s="369"/>
      <c r="CI54" s="369"/>
      <c r="CJ54" s="370">
        <v>0</v>
      </c>
      <c r="CK54" s="370">
        <v>0</v>
      </c>
      <c r="CL54" s="370">
        <v>0</v>
      </c>
      <c r="CM54" s="394">
        <v>23320000</v>
      </c>
      <c r="CN54" s="374">
        <f t="shared" si="12"/>
        <v>0</v>
      </c>
      <c r="CO54" s="370">
        <f t="shared" si="13"/>
        <v>0</v>
      </c>
      <c r="CP54" s="370">
        <v>0</v>
      </c>
      <c r="CQ54" s="370">
        <v>0</v>
      </c>
      <c r="CR54" s="372">
        <v>0</v>
      </c>
      <c r="CS54" s="374">
        <v>0</v>
      </c>
      <c r="CT54" s="375">
        <f t="shared" si="39"/>
        <v>0</v>
      </c>
      <c r="CU54" s="370">
        <f t="shared" si="15"/>
        <v>0</v>
      </c>
      <c r="CV54" s="370">
        <v>0</v>
      </c>
      <c r="CW54" s="370">
        <v>7773333</v>
      </c>
      <c r="CX54" s="372">
        <v>7773333</v>
      </c>
      <c r="CY54" s="374">
        <v>0</v>
      </c>
      <c r="CZ54" s="375">
        <f t="shared" si="16"/>
        <v>15546666</v>
      </c>
      <c r="DA54" s="370">
        <f t="shared" si="17"/>
        <v>0.66666663807890225</v>
      </c>
      <c r="DB54" s="370">
        <v>7773334</v>
      </c>
      <c r="DC54" s="370">
        <v>0</v>
      </c>
      <c r="DD54" s="372">
        <v>0</v>
      </c>
      <c r="DE54" s="374">
        <v>0</v>
      </c>
      <c r="DF54" s="375">
        <f t="shared" si="19"/>
        <v>7773334</v>
      </c>
      <c r="DG54" s="370">
        <f t="shared" si="20"/>
        <v>0.33333336192109775</v>
      </c>
      <c r="DH54" s="376">
        <f t="shared" si="21"/>
        <v>23320000</v>
      </c>
      <c r="DI54" s="376">
        <f t="shared" si="22"/>
        <v>23320000</v>
      </c>
      <c r="DJ54" s="370">
        <f t="shared" si="23"/>
        <v>1</v>
      </c>
      <c r="DK54" s="370"/>
      <c r="DL54" s="377">
        <f t="shared" si="24"/>
        <v>23320000</v>
      </c>
      <c r="DM54" s="370">
        <f t="shared" si="25"/>
        <v>23320000</v>
      </c>
      <c r="DN54" s="370">
        <f t="shared" si="26"/>
        <v>0</v>
      </c>
      <c r="DO54" s="370">
        <f t="shared" si="27"/>
        <v>0</v>
      </c>
      <c r="DP54" s="370">
        <f t="shared" si="28"/>
        <v>0</v>
      </c>
      <c r="DQ54" s="378">
        <f t="shared" si="29"/>
        <v>23320000</v>
      </c>
      <c r="DR54" s="370">
        <f t="shared" si="30"/>
        <v>0</v>
      </c>
      <c r="DS54" s="370">
        <f t="shared" si="31"/>
        <v>0</v>
      </c>
      <c r="DT54" s="370">
        <f t="shared" si="32"/>
        <v>15546666</v>
      </c>
      <c r="DU54" s="370">
        <f t="shared" si="33"/>
        <v>7773334</v>
      </c>
      <c r="DW54" s="370">
        <v>7773333</v>
      </c>
      <c r="DX54" s="372">
        <v>7773333</v>
      </c>
      <c r="DY54" s="300">
        <v>0</v>
      </c>
      <c r="DZ54" s="381">
        <f t="shared" si="34"/>
        <v>2098800</v>
      </c>
      <c r="EA54" s="573">
        <f t="shared" si="35"/>
        <v>25418800</v>
      </c>
      <c r="EB54" s="608"/>
    </row>
    <row r="55" spans="1:133" ht="147" hidden="1" customHeight="1" thickTop="1" thickBot="1">
      <c r="A55" s="133">
        <v>1</v>
      </c>
      <c r="B55" s="411" t="s">
        <v>6</v>
      </c>
      <c r="C55" s="135" t="s">
        <v>304</v>
      </c>
      <c r="D55" s="135" t="s">
        <v>305</v>
      </c>
      <c r="E55" s="412" t="s">
        <v>114</v>
      </c>
      <c r="F55" s="347" t="s">
        <v>306</v>
      </c>
      <c r="G55" s="412" t="s">
        <v>442</v>
      </c>
      <c r="H55" s="347" t="s">
        <v>457</v>
      </c>
      <c r="I55" s="347" t="s">
        <v>849</v>
      </c>
      <c r="J55" s="32">
        <v>44</v>
      </c>
      <c r="K55" s="348" t="s">
        <v>857</v>
      </c>
      <c r="L55" s="40" t="s">
        <v>465</v>
      </c>
      <c r="M55" s="40" t="s">
        <v>839</v>
      </c>
      <c r="N55" s="349" t="s">
        <v>11</v>
      </c>
      <c r="O55" s="350">
        <v>19</v>
      </c>
      <c r="P55" s="392" t="s">
        <v>19</v>
      </c>
      <c r="Q55" s="2">
        <v>1905</v>
      </c>
      <c r="R55" s="32">
        <v>1905026</v>
      </c>
      <c r="S55" s="39" t="s">
        <v>47</v>
      </c>
      <c r="T55" s="39" t="s">
        <v>450</v>
      </c>
      <c r="U55" s="32">
        <v>190502600</v>
      </c>
      <c r="V55" s="40" t="s">
        <v>48</v>
      </c>
      <c r="W55" s="355" t="s">
        <v>316</v>
      </c>
      <c r="X55" s="385">
        <f>SUM(BE55:BE58)</f>
        <v>69478330.450000003</v>
      </c>
      <c r="Y55" s="355"/>
      <c r="Z55" s="355"/>
      <c r="AA55" s="355"/>
      <c r="AB55" s="355"/>
      <c r="AC55" s="355"/>
      <c r="AD55" s="355"/>
      <c r="AE55" s="355"/>
      <c r="AF55" s="355"/>
      <c r="AG55" s="355"/>
      <c r="AH55" s="356">
        <f t="shared" si="0"/>
        <v>69478330.450000003</v>
      </c>
      <c r="AI55" s="357" t="s">
        <v>210</v>
      </c>
      <c r="AJ55" s="80">
        <v>1</v>
      </c>
      <c r="AK55" s="80">
        <v>1</v>
      </c>
      <c r="AL55" s="80">
        <v>1</v>
      </c>
      <c r="AM55" s="80">
        <v>1</v>
      </c>
      <c r="AN55" s="80">
        <v>1</v>
      </c>
      <c r="AO55" s="358">
        <v>1</v>
      </c>
      <c r="AP55" s="33">
        <f t="shared" si="1"/>
        <v>1200</v>
      </c>
      <c r="AQ55" s="359" t="s">
        <v>316</v>
      </c>
      <c r="AR55" s="25">
        <v>0</v>
      </c>
      <c r="AS55" s="25">
        <v>500</v>
      </c>
      <c r="AT55" s="25">
        <v>600</v>
      </c>
      <c r="AU55" s="25">
        <v>100</v>
      </c>
      <c r="AV55" s="392" t="s">
        <v>779</v>
      </c>
      <c r="AW55" s="392" t="s">
        <v>740</v>
      </c>
      <c r="AX55" s="39" t="s">
        <v>858</v>
      </c>
      <c r="AY55" s="25">
        <v>390</v>
      </c>
      <c r="AZ55" s="39" t="s">
        <v>729</v>
      </c>
      <c r="BA55" s="40" t="s">
        <v>47</v>
      </c>
      <c r="BB55" s="360" t="s">
        <v>730</v>
      </c>
      <c r="BC55" s="361" t="s">
        <v>683</v>
      </c>
      <c r="BD55" s="40" t="s">
        <v>731</v>
      </c>
      <c r="BE55" s="433">
        <v>4162433.65</v>
      </c>
      <c r="BF55" s="363" t="s">
        <v>771</v>
      </c>
      <c r="BG55" s="364" t="s">
        <v>859</v>
      </c>
      <c r="BH55" s="365" t="s">
        <v>860</v>
      </c>
      <c r="BI55" s="365"/>
      <c r="BJ55" s="26" t="s">
        <v>861</v>
      </c>
      <c r="BK55" s="26" t="s">
        <v>862</v>
      </c>
      <c r="BL55" s="359">
        <v>0</v>
      </c>
      <c r="BM55" s="359">
        <v>0</v>
      </c>
      <c r="BN55" s="359">
        <v>0</v>
      </c>
      <c r="BO55" s="366">
        <f t="shared" si="2"/>
        <v>0</v>
      </c>
      <c r="BP55" s="367">
        <f t="shared" si="3"/>
        <v>0</v>
      </c>
      <c r="BQ55" s="359">
        <v>0</v>
      </c>
      <c r="BR55" s="359">
        <v>16</v>
      </c>
      <c r="BS55" s="359">
        <v>320</v>
      </c>
      <c r="BT55" s="366">
        <f t="shared" si="4"/>
        <v>336</v>
      </c>
      <c r="BU55" s="367">
        <f t="shared" si="5"/>
        <v>0.28000000000000003</v>
      </c>
      <c r="BV55" s="359">
        <v>411</v>
      </c>
      <c r="BW55" s="359">
        <v>453</v>
      </c>
      <c r="BX55" s="359">
        <v>0</v>
      </c>
      <c r="BY55" s="366">
        <f t="shared" si="6"/>
        <v>864</v>
      </c>
      <c r="BZ55" s="367">
        <f t="shared" si="7"/>
        <v>0.72</v>
      </c>
      <c r="CA55" s="359">
        <v>0</v>
      </c>
      <c r="CB55" s="359">
        <v>0</v>
      </c>
      <c r="CC55" s="359">
        <v>0</v>
      </c>
      <c r="CD55" s="366">
        <f t="shared" si="8"/>
        <v>0</v>
      </c>
      <c r="CE55" s="367">
        <f t="shared" si="9"/>
        <v>0</v>
      </c>
      <c r="CF55" s="368">
        <f t="shared" si="10"/>
        <v>1200</v>
      </c>
      <c r="CG55" s="359">
        <f t="shared" si="11"/>
        <v>1</v>
      </c>
      <c r="CH55" s="369"/>
      <c r="CI55" s="369"/>
      <c r="CJ55" s="370">
        <v>0</v>
      </c>
      <c r="CK55" s="370">
        <v>0</v>
      </c>
      <c r="CL55" s="370">
        <v>0</v>
      </c>
      <c r="CM55" s="434">
        <v>4162433.65</v>
      </c>
      <c r="CN55" s="374">
        <f t="shared" si="12"/>
        <v>0</v>
      </c>
      <c r="CO55" s="370">
        <f t="shared" si="13"/>
        <v>0</v>
      </c>
      <c r="CP55" s="370">
        <v>0</v>
      </c>
      <c r="CQ55" s="370">
        <v>0</v>
      </c>
      <c r="CR55" s="435">
        <v>55499.12</v>
      </c>
      <c r="CS55" s="374">
        <v>0</v>
      </c>
      <c r="CT55" s="375">
        <f t="shared" si="14"/>
        <v>55499.12</v>
      </c>
      <c r="CU55" s="370">
        <f t="shared" si="15"/>
        <v>1.3333334454472327E-2</v>
      </c>
      <c r="CV55" s="436">
        <v>1109982.3066666666</v>
      </c>
      <c r="CW55" s="370">
        <v>1425633.5251249999</v>
      </c>
      <c r="CX55" s="372">
        <v>1571318.702875</v>
      </c>
      <c r="CY55" s="374">
        <v>0</v>
      </c>
      <c r="CZ55" s="375">
        <f t="shared" si="16"/>
        <v>4106934.5346666663</v>
      </c>
      <c r="DA55" s="370">
        <f t="shared" si="17"/>
        <v>0.98666666666666658</v>
      </c>
      <c r="DB55" s="370">
        <v>0</v>
      </c>
      <c r="DC55" s="370">
        <v>0</v>
      </c>
      <c r="DD55" s="372">
        <v>0</v>
      </c>
      <c r="DE55" s="374">
        <v>0</v>
      </c>
      <c r="DF55" s="375">
        <f t="shared" si="19"/>
        <v>0</v>
      </c>
      <c r="DG55" s="370">
        <f t="shared" si="20"/>
        <v>0</v>
      </c>
      <c r="DH55" s="376">
        <f t="shared" si="21"/>
        <v>4162433.65</v>
      </c>
      <c r="DI55" s="376">
        <f t="shared" si="22"/>
        <v>4162433.6546666664</v>
      </c>
      <c r="DJ55" s="370">
        <f t="shared" si="23"/>
        <v>1</v>
      </c>
      <c r="DK55" s="370"/>
      <c r="DL55" s="377">
        <f t="shared" si="24"/>
        <v>4162433.65</v>
      </c>
      <c r="DM55" s="370">
        <f t="shared" si="25"/>
        <v>4162433.65</v>
      </c>
      <c r="DN55" s="370">
        <f t="shared" si="26"/>
        <v>0</v>
      </c>
      <c r="DO55" s="370">
        <f t="shared" si="27"/>
        <v>0</v>
      </c>
      <c r="DP55" s="370">
        <f t="shared" si="28"/>
        <v>0</v>
      </c>
      <c r="DQ55" s="378">
        <f t="shared" si="29"/>
        <v>4162433.6546666664</v>
      </c>
      <c r="DR55" s="370">
        <f t="shared" si="30"/>
        <v>0</v>
      </c>
      <c r="DS55" s="370">
        <f t="shared" si="31"/>
        <v>55499.12</v>
      </c>
      <c r="DT55" s="370">
        <f t="shared" si="32"/>
        <v>4106934.5346666663</v>
      </c>
      <c r="DU55" s="370">
        <f t="shared" si="33"/>
        <v>0</v>
      </c>
      <c r="DW55" s="370">
        <v>1425633.5251249999</v>
      </c>
      <c r="DX55" s="372">
        <v>1571318.702875</v>
      </c>
      <c r="DY55" s="300">
        <v>0</v>
      </c>
      <c r="DZ55" s="381">
        <f t="shared" si="34"/>
        <v>374619.02849999996</v>
      </c>
      <c r="EA55" s="574">
        <f t="shared" si="35"/>
        <v>4537052.6784999995</v>
      </c>
      <c r="EB55" s="608"/>
    </row>
    <row r="56" spans="1:133" s="442" customFormat="1" ht="134.25" customHeight="1" thickTop="1" thickBot="1">
      <c r="A56" s="133">
        <v>1</v>
      </c>
      <c r="B56" s="411" t="s">
        <v>6</v>
      </c>
      <c r="C56" s="135" t="s">
        <v>304</v>
      </c>
      <c r="D56" s="135" t="s">
        <v>305</v>
      </c>
      <c r="E56" s="412" t="s">
        <v>114</v>
      </c>
      <c r="F56" s="347" t="s">
        <v>306</v>
      </c>
      <c r="G56" s="412" t="s">
        <v>442</v>
      </c>
      <c r="H56" s="347" t="s">
        <v>457</v>
      </c>
      <c r="I56" s="347" t="s">
        <v>849</v>
      </c>
      <c r="J56" s="32">
        <v>44</v>
      </c>
      <c r="K56" s="348" t="s">
        <v>857</v>
      </c>
      <c r="L56" s="40" t="s">
        <v>465</v>
      </c>
      <c r="M56" s="40" t="s">
        <v>839</v>
      </c>
      <c r="N56" s="349" t="s">
        <v>11</v>
      </c>
      <c r="O56" s="350">
        <v>19</v>
      </c>
      <c r="P56" s="392" t="s">
        <v>19</v>
      </c>
      <c r="Q56" s="2">
        <v>1905</v>
      </c>
      <c r="R56" s="32">
        <v>1905026</v>
      </c>
      <c r="S56" s="39" t="s">
        <v>47</v>
      </c>
      <c r="T56" s="39" t="s">
        <v>450</v>
      </c>
      <c r="U56" s="32">
        <v>190502600</v>
      </c>
      <c r="V56" s="40" t="s">
        <v>48</v>
      </c>
      <c r="W56" s="355" t="s">
        <v>316</v>
      </c>
      <c r="X56" s="355"/>
      <c r="Y56" s="355"/>
      <c r="Z56" s="355"/>
      <c r="AA56" s="355"/>
      <c r="AB56" s="355"/>
      <c r="AC56" s="355"/>
      <c r="AD56" s="355"/>
      <c r="AE56" s="355"/>
      <c r="AF56" s="355"/>
      <c r="AG56" s="355"/>
      <c r="AH56" s="356">
        <f t="shared" si="0"/>
        <v>0</v>
      </c>
      <c r="AI56" s="397" t="s">
        <v>211</v>
      </c>
      <c r="AJ56" s="80">
        <v>1</v>
      </c>
      <c r="AK56" s="80">
        <v>1</v>
      </c>
      <c r="AL56" s="80">
        <v>1</v>
      </c>
      <c r="AM56" s="80">
        <v>1</v>
      </c>
      <c r="AN56" s="80">
        <v>1</v>
      </c>
      <c r="AO56" s="358">
        <v>1</v>
      </c>
      <c r="AP56" s="33">
        <v>100</v>
      </c>
      <c r="AQ56" s="359" t="s">
        <v>316</v>
      </c>
      <c r="AR56" s="25">
        <v>0</v>
      </c>
      <c r="AS56" s="25">
        <v>30</v>
      </c>
      <c r="AT56" s="25">
        <v>40</v>
      </c>
      <c r="AU56" s="25">
        <v>30</v>
      </c>
      <c r="AV56" s="437" t="s">
        <v>779</v>
      </c>
      <c r="AW56" s="437" t="s">
        <v>863</v>
      </c>
      <c r="AX56" s="438" t="s">
        <v>864</v>
      </c>
      <c r="AY56" s="439">
        <v>510</v>
      </c>
      <c r="AZ56" s="39" t="s">
        <v>762</v>
      </c>
      <c r="BA56" s="40" t="s">
        <v>24</v>
      </c>
      <c r="BB56" s="440" t="s">
        <v>865</v>
      </c>
      <c r="BC56" s="361" t="s">
        <v>710</v>
      </c>
      <c r="BD56" s="40" t="s">
        <v>698</v>
      </c>
      <c r="BE56" s="421">
        <v>53421473.219999999</v>
      </c>
      <c r="BF56" s="363" t="s">
        <v>866</v>
      </c>
      <c r="BG56" s="364" t="s">
        <v>859</v>
      </c>
      <c r="BH56" s="365" t="s">
        <v>860</v>
      </c>
      <c r="BI56" s="365"/>
      <c r="BJ56" s="26" t="s">
        <v>861</v>
      </c>
      <c r="BK56" s="26" t="s">
        <v>862</v>
      </c>
      <c r="BL56" s="359">
        <v>0</v>
      </c>
      <c r="BM56" s="359">
        <v>0</v>
      </c>
      <c r="BN56" s="359">
        <v>0</v>
      </c>
      <c r="BO56" s="366">
        <f t="shared" si="2"/>
        <v>0</v>
      </c>
      <c r="BP56" s="367">
        <f t="shared" si="3"/>
        <v>0</v>
      </c>
      <c r="BQ56" s="359">
        <v>0</v>
      </c>
      <c r="BR56" s="359">
        <v>0</v>
      </c>
      <c r="BS56" s="359">
        <v>0</v>
      </c>
      <c r="BT56" s="366">
        <f t="shared" si="4"/>
        <v>0</v>
      </c>
      <c r="BU56" s="367">
        <f t="shared" si="5"/>
        <v>0</v>
      </c>
      <c r="BV56" s="414">
        <v>21</v>
      </c>
      <c r="BW56" s="414">
        <v>23</v>
      </c>
      <c r="BX56" s="414">
        <v>0</v>
      </c>
      <c r="BY56" s="366">
        <f t="shared" si="6"/>
        <v>44</v>
      </c>
      <c r="BZ56" s="367">
        <f t="shared" si="7"/>
        <v>0.44</v>
      </c>
      <c r="CA56" s="359">
        <v>0</v>
      </c>
      <c r="CB56" s="359">
        <v>0</v>
      </c>
      <c r="CC56" s="359">
        <v>0</v>
      </c>
      <c r="CD56" s="366">
        <f t="shared" si="8"/>
        <v>0</v>
      </c>
      <c r="CE56" s="367">
        <f t="shared" si="9"/>
        <v>0</v>
      </c>
      <c r="CF56" s="368">
        <f t="shared" si="10"/>
        <v>44</v>
      </c>
      <c r="CG56" s="359">
        <f t="shared" si="11"/>
        <v>0.44</v>
      </c>
      <c r="CH56" s="369"/>
      <c r="CI56" s="369"/>
      <c r="CJ56" s="370">
        <v>0</v>
      </c>
      <c r="CK56" s="370">
        <v>0</v>
      </c>
      <c r="CL56" s="372">
        <v>0</v>
      </c>
      <c r="CM56" s="374">
        <v>0</v>
      </c>
      <c r="CN56" s="374">
        <f t="shared" si="12"/>
        <v>0</v>
      </c>
      <c r="CO56" s="370">
        <f t="shared" si="13"/>
        <v>0</v>
      </c>
      <c r="CP56" s="370">
        <v>0</v>
      </c>
      <c r="CQ56" s="370">
        <v>0</v>
      </c>
      <c r="CR56" s="372">
        <v>0</v>
      </c>
      <c r="CS56" s="374">
        <v>53421473.219999999</v>
      </c>
      <c r="CT56" s="375">
        <f t="shared" si="14"/>
        <v>0</v>
      </c>
      <c r="CU56" s="370">
        <f t="shared" si="15"/>
        <v>0</v>
      </c>
      <c r="CV56" s="370">
        <v>0</v>
      </c>
      <c r="CW56" s="370">
        <v>11271350.09</v>
      </c>
      <c r="CX56" s="372">
        <f>23622784.09-11271350.09</f>
        <v>12351434</v>
      </c>
      <c r="CY56" s="374">
        <v>0</v>
      </c>
      <c r="CZ56" s="375">
        <f t="shared" si="16"/>
        <v>23622784.09</v>
      </c>
      <c r="DA56" s="370">
        <f t="shared" si="17"/>
        <v>0.44219641777224655</v>
      </c>
      <c r="DB56" s="372">
        <v>12457911.890000001</v>
      </c>
      <c r="DC56" s="370">
        <v>8563793.0299999993</v>
      </c>
      <c r="DD56" s="372">
        <v>0</v>
      </c>
      <c r="DE56" s="374">
        <v>0</v>
      </c>
      <c r="DF56" s="375">
        <f t="shared" si="19"/>
        <v>21021704.920000002</v>
      </c>
      <c r="DG56" s="370">
        <f t="shared" si="20"/>
        <v>0.39350664916013339</v>
      </c>
      <c r="DH56" s="376">
        <f t="shared" si="21"/>
        <v>53421473.219999999</v>
      </c>
      <c r="DI56" s="376">
        <f t="shared" si="22"/>
        <v>44644489.010000005</v>
      </c>
      <c r="DJ56" s="370">
        <f t="shared" si="23"/>
        <v>1</v>
      </c>
      <c r="DK56" s="370"/>
      <c r="DL56" s="377">
        <f t="shared" si="24"/>
        <v>53421473.219999999</v>
      </c>
      <c r="DM56" s="370">
        <f t="shared" si="25"/>
        <v>0</v>
      </c>
      <c r="DN56" s="370">
        <f t="shared" si="26"/>
        <v>53421473.219999999</v>
      </c>
      <c r="DO56" s="370">
        <f t="shared" si="27"/>
        <v>0</v>
      </c>
      <c r="DP56" s="370">
        <f t="shared" si="28"/>
        <v>0</v>
      </c>
      <c r="DQ56" s="378">
        <f t="shared" si="29"/>
        <v>44644489.010000005</v>
      </c>
      <c r="DR56" s="370">
        <f t="shared" si="30"/>
        <v>0</v>
      </c>
      <c r="DS56" s="370">
        <f t="shared" si="31"/>
        <v>0</v>
      </c>
      <c r="DT56" s="370">
        <f t="shared" si="32"/>
        <v>23622784.09</v>
      </c>
      <c r="DU56" s="370">
        <f t="shared" si="33"/>
        <v>21021704.920000002</v>
      </c>
      <c r="DV56" s="441"/>
      <c r="DW56" s="370">
        <v>11271351</v>
      </c>
      <c r="DX56" s="372">
        <v>12351434</v>
      </c>
      <c r="DY56" s="379">
        <v>0</v>
      </c>
      <c r="DZ56" s="381">
        <f t="shared" si="34"/>
        <v>4807932.5897999993</v>
      </c>
      <c r="EA56" s="382">
        <v>0</v>
      </c>
      <c r="EB56" s="430" t="s">
        <v>865</v>
      </c>
      <c r="EC56" s="441"/>
    </row>
    <row r="57" spans="1:133" ht="128.25" hidden="1" customHeight="1" thickTop="1" thickBot="1">
      <c r="A57" s="133">
        <v>1</v>
      </c>
      <c r="B57" s="411" t="s">
        <v>6</v>
      </c>
      <c r="C57" s="135" t="s">
        <v>304</v>
      </c>
      <c r="D57" s="135" t="s">
        <v>305</v>
      </c>
      <c r="E57" s="412" t="s">
        <v>114</v>
      </c>
      <c r="F57" s="347" t="s">
        <v>306</v>
      </c>
      <c r="G57" s="412" t="s">
        <v>442</v>
      </c>
      <c r="H57" s="347" t="s">
        <v>457</v>
      </c>
      <c r="I57" s="347" t="s">
        <v>849</v>
      </c>
      <c r="J57" s="32">
        <v>44</v>
      </c>
      <c r="K57" s="348" t="s">
        <v>857</v>
      </c>
      <c r="L57" s="40" t="s">
        <v>465</v>
      </c>
      <c r="M57" s="40" t="s">
        <v>839</v>
      </c>
      <c r="N57" s="349" t="s">
        <v>11</v>
      </c>
      <c r="O57" s="350">
        <v>19</v>
      </c>
      <c r="P57" s="392" t="s">
        <v>19</v>
      </c>
      <c r="Q57" s="2">
        <v>1905</v>
      </c>
      <c r="R57" s="32">
        <v>1905026</v>
      </c>
      <c r="S57" s="39" t="s">
        <v>47</v>
      </c>
      <c r="T57" s="39" t="s">
        <v>450</v>
      </c>
      <c r="U57" s="32">
        <v>190502600</v>
      </c>
      <c r="V57" s="40" t="s">
        <v>48</v>
      </c>
      <c r="W57" s="355" t="s">
        <v>316</v>
      </c>
      <c r="X57" s="355"/>
      <c r="Y57" s="355"/>
      <c r="Z57" s="355"/>
      <c r="AA57" s="355"/>
      <c r="AB57" s="355"/>
      <c r="AC57" s="355"/>
      <c r="AD57" s="355"/>
      <c r="AE57" s="355"/>
      <c r="AF57" s="355"/>
      <c r="AG57" s="355"/>
      <c r="AH57" s="356">
        <f t="shared" si="0"/>
        <v>0</v>
      </c>
      <c r="AI57" s="357" t="s">
        <v>212</v>
      </c>
      <c r="AJ57" s="80">
        <v>1</v>
      </c>
      <c r="AK57" s="80">
        <v>1</v>
      </c>
      <c r="AL57" s="80">
        <v>1</v>
      </c>
      <c r="AM57" s="80">
        <v>1</v>
      </c>
      <c r="AN57" s="80">
        <v>1</v>
      </c>
      <c r="AO57" s="358">
        <v>1</v>
      </c>
      <c r="AP57" s="33">
        <f t="shared" si="1"/>
        <v>3000</v>
      </c>
      <c r="AQ57" s="359" t="s">
        <v>316</v>
      </c>
      <c r="AR57" s="25">
        <v>0</v>
      </c>
      <c r="AS57" s="25">
        <v>800</v>
      </c>
      <c r="AT57" s="25">
        <v>1800</v>
      </c>
      <c r="AU57" s="25">
        <v>400</v>
      </c>
      <c r="AV57" s="392" t="s">
        <v>779</v>
      </c>
      <c r="AW57" s="392" t="s">
        <v>740</v>
      </c>
      <c r="AX57" s="39" t="s">
        <v>858</v>
      </c>
      <c r="AY57" s="25">
        <v>390</v>
      </c>
      <c r="AZ57" s="39" t="s">
        <v>729</v>
      </c>
      <c r="BA57" s="40" t="s">
        <v>47</v>
      </c>
      <c r="BB57" s="360" t="s">
        <v>730</v>
      </c>
      <c r="BC57" s="361" t="s">
        <v>683</v>
      </c>
      <c r="BD57" s="40" t="s">
        <v>731</v>
      </c>
      <c r="BE57" s="421">
        <v>2018001.6</v>
      </c>
      <c r="BF57" s="363" t="s">
        <v>771</v>
      </c>
      <c r="BG57" s="364" t="s">
        <v>859</v>
      </c>
      <c r="BH57" s="365" t="s">
        <v>860</v>
      </c>
      <c r="BI57" s="365"/>
      <c r="BJ57" s="26" t="s">
        <v>861</v>
      </c>
      <c r="BK57" s="26" t="s">
        <v>862</v>
      </c>
      <c r="BL57" s="359">
        <v>0</v>
      </c>
      <c r="BM57" s="359">
        <v>0</v>
      </c>
      <c r="BN57" s="359">
        <v>0</v>
      </c>
      <c r="BO57" s="366">
        <f t="shared" si="2"/>
        <v>0</v>
      </c>
      <c r="BP57" s="367">
        <f t="shared" si="3"/>
        <v>0</v>
      </c>
      <c r="BQ57" s="359">
        <v>0</v>
      </c>
      <c r="BR57" s="359">
        <v>0</v>
      </c>
      <c r="BS57" s="359">
        <v>0</v>
      </c>
      <c r="BT57" s="366">
        <f t="shared" si="4"/>
        <v>0</v>
      </c>
      <c r="BU57" s="367">
        <f t="shared" si="5"/>
        <v>0</v>
      </c>
      <c r="BV57" s="359">
        <v>496</v>
      </c>
      <c r="BW57" s="359">
        <v>607</v>
      </c>
      <c r="BX57" s="359">
        <v>828</v>
      </c>
      <c r="BY57" s="366">
        <f t="shared" si="6"/>
        <v>1931</v>
      </c>
      <c r="BZ57" s="367">
        <f t="shared" si="7"/>
        <v>0.64366666666666672</v>
      </c>
      <c r="CA57" s="359">
        <v>0</v>
      </c>
      <c r="CB57" s="359">
        <v>0</v>
      </c>
      <c r="CC57" s="359">
        <v>0</v>
      </c>
      <c r="CD57" s="366">
        <f t="shared" si="8"/>
        <v>0</v>
      </c>
      <c r="CE57" s="367">
        <f t="shared" si="9"/>
        <v>0</v>
      </c>
      <c r="CF57" s="368">
        <f t="shared" si="10"/>
        <v>1931</v>
      </c>
      <c r="CG57" s="359">
        <f t="shared" si="11"/>
        <v>0.64366666666666672</v>
      </c>
      <c r="CH57" s="369"/>
      <c r="CI57" s="369"/>
      <c r="CJ57" s="370">
        <v>0</v>
      </c>
      <c r="CK57" s="370">
        <v>0</v>
      </c>
      <c r="CL57" s="370">
        <v>0</v>
      </c>
      <c r="CM57" s="375">
        <v>2018001.6</v>
      </c>
      <c r="CN57" s="374">
        <f t="shared" si="12"/>
        <v>0</v>
      </c>
      <c r="CO57" s="370">
        <f t="shared" si="13"/>
        <v>0</v>
      </c>
      <c r="CP57" s="370">
        <v>0</v>
      </c>
      <c r="CQ57" s="370">
        <v>0</v>
      </c>
      <c r="CR57" s="435">
        <v>10762.68</v>
      </c>
      <c r="CS57" s="374">
        <v>0</v>
      </c>
      <c r="CT57" s="375">
        <f t="shared" si="14"/>
        <v>10762.68</v>
      </c>
      <c r="CU57" s="370">
        <f t="shared" si="15"/>
        <v>5.3333357119241132E-3</v>
      </c>
      <c r="CV57" s="436">
        <v>708318.56160000002</v>
      </c>
      <c r="CW57" s="370">
        <v>333642.93119999999</v>
      </c>
      <c r="CX57" s="372">
        <v>408308.99040000001</v>
      </c>
      <c r="CY57" s="374">
        <v>0</v>
      </c>
      <c r="CZ57" s="375">
        <f t="shared" si="16"/>
        <v>1450270.4832000001</v>
      </c>
      <c r="DA57" s="370">
        <f t="shared" si="17"/>
        <v>0.71866666666666668</v>
      </c>
      <c r="DB57" s="370">
        <v>221605.55</v>
      </c>
      <c r="DC57" s="370">
        <f>BE57-1682638.7132</f>
        <v>335362.88679999998</v>
      </c>
      <c r="DD57" s="372">
        <v>0</v>
      </c>
      <c r="DE57" s="374">
        <v>0</v>
      </c>
      <c r="DF57" s="375">
        <f t="shared" si="19"/>
        <v>556968.43680000002</v>
      </c>
      <c r="DG57" s="370">
        <f t="shared" si="20"/>
        <v>0.2759999976214092</v>
      </c>
      <c r="DH57" s="376">
        <f t="shared" si="21"/>
        <v>2018001.6</v>
      </c>
      <c r="DI57" s="376">
        <f t="shared" si="22"/>
        <v>2018001.6</v>
      </c>
      <c r="DJ57" s="370">
        <f t="shared" si="23"/>
        <v>1</v>
      </c>
      <c r="DK57" s="370"/>
      <c r="DL57" s="377">
        <f t="shared" si="24"/>
        <v>2018001.6</v>
      </c>
      <c r="DM57" s="370">
        <f t="shared" si="25"/>
        <v>2018001.6</v>
      </c>
      <c r="DN57" s="370">
        <f t="shared" si="26"/>
        <v>0</v>
      </c>
      <c r="DO57" s="370">
        <f t="shared" si="27"/>
        <v>0</v>
      </c>
      <c r="DP57" s="370">
        <f t="shared" si="28"/>
        <v>0</v>
      </c>
      <c r="DQ57" s="378">
        <f t="shared" si="29"/>
        <v>2018001.6</v>
      </c>
      <c r="DR57" s="370">
        <f t="shared" si="30"/>
        <v>0</v>
      </c>
      <c r="DS57" s="370">
        <f t="shared" si="31"/>
        <v>10762.68</v>
      </c>
      <c r="DT57" s="370">
        <f t="shared" si="32"/>
        <v>1450270.4832000001</v>
      </c>
      <c r="DU57" s="370">
        <f t="shared" si="33"/>
        <v>556968.43680000002</v>
      </c>
      <c r="DW57" s="370">
        <v>333642.93119999999</v>
      </c>
      <c r="DX57" s="372">
        <v>408308.99040000001</v>
      </c>
      <c r="DY57" s="300">
        <v>0</v>
      </c>
      <c r="DZ57" s="381">
        <f t="shared" si="34"/>
        <v>181620.144</v>
      </c>
      <c r="EA57" s="574">
        <f t="shared" si="35"/>
        <v>2199621.7439999999</v>
      </c>
      <c r="EB57" s="608"/>
    </row>
    <row r="58" spans="1:133" ht="138" hidden="1" customHeight="1" thickTop="1" thickBot="1">
      <c r="A58" s="133">
        <v>1</v>
      </c>
      <c r="B58" s="411" t="s">
        <v>6</v>
      </c>
      <c r="C58" s="135" t="s">
        <v>304</v>
      </c>
      <c r="D58" s="135" t="s">
        <v>305</v>
      </c>
      <c r="E58" s="412" t="s">
        <v>114</v>
      </c>
      <c r="F58" s="347" t="s">
        <v>306</v>
      </c>
      <c r="G58" s="412" t="s">
        <v>442</v>
      </c>
      <c r="H58" s="347" t="s">
        <v>457</v>
      </c>
      <c r="I58" s="347" t="s">
        <v>849</v>
      </c>
      <c r="J58" s="32">
        <v>44</v>
      </c>
      <c r="K58" s="348" t="s">
        <v>857</v>
      </c>
      <c r="L58" s="40" t="s">
        <v>465</v>
      </c>
      <c r="M58" s="40" t="s">
        <v>839</v>
      </c>
      <c r="N58" s="349" t="s">
        <v>11</v>
      </c>
      <c r="O58" s="350">
        <v>19</v>
      </c>
      <c r="P58" s="392" t="s">
        <v>19</v>
      </c>
      <c r="Q58" s="2">
        <v>1905</v>
      </c>
      <c r="R58" s="32">
        <v>1905026</v>
      </c>
      <c r="S58" s="39" t="s">
        <v>47</v>
      </c>
      <c r="T58" s="39" t="s">
        <v>450</v>
      </c>
      <c r="U58" s="32">
        <v>190502600</v>
      </c>
      <c r="V58" s="40" t="s">
        <v>48</v>
      </c>
      <c r="W58" s="355" t="s">
        <v>316</v>
      </c>
      <c r="X58" s="355"/>
      <c r="Y58" s="355"/>
      <c r="Z58" s="355"/>
      <c r="AA58" s="355"/>
      <c r="AB58" s="355"/>
      <c r="AC58" s="355"/>
      <c r="AD58" s="355"/>
      <c r="AE58" s="355"/>
      <c r="AF58" s="355"/>
      <c r="AG58" s="355"/>
      <c r="AH58" s="356">
        <f t="shared" si="0"/>
        <v>0</v>
      </c>
      <c r="AI58" s="357" t="s">
        <v>213</v>
      </c>
      <c r="AJ58" s="80">
        <v>1</v>
      </c>
      <c r="AK58" s="80">
        <v>1</v>
      </c>
      <c r="AL58" s="80">
        <v>1</v>
      </c>
      <c r="AM58" s="80">
        <v>1</v>
      </c>
      <c r="AN58" s="80">
        <v>1</v>
      </c>
      <c r="AO58" s="358">
        <v>1</v>
      </c>
      <c r="AP58" s="33">
        <f t="shared" si="1"/>
        <v>100</v>
      </c>
      <c r="AQ58" s="359" t="s">
        <v>707</v>
      </c>
      <c r="AR58" s="25">
        <v>0</v>
      </c>
      <c r="AS58" s="25">
        <v>20</v>
      </c>
      <c r="AT58" s="25">
        <v>50</v>
      </c>
      <c r="AU58" s="25">
        <v>30</v>
      </c>
      <c r="AV58" s="392" t="s">
        <v>779</v>
      </c>
      <c r="AW58" s="39" t="s">
        <v>769</v>
      </c>
      <c r="AX58" s="39" t="s">
        <v>858</v>
      </c>
      <c r="AY58" s="25">
        <v>390</v>
      </c>
      <c r="AZ58" s="39" t="s">
        <v>729</v>
      </c>
      <c r="BA58" s="40" t="s">
        <v>47</v>
      </c>
      <c r="BB58" s="360" t="s">
        <v>730</v>
      </c>
      <c r="BC58" s="361" t="s">
        <v>683</v>
      </c>
      <c r="BD58" s="40" t="s">
        <v>731</v>
      </c>
      <c r="BE58" s="421">
        <v>9876421.9800000004</v>
      </c>
      <c r="BF58" s="363" t="s">
        <v>771</v>
      </c>
      <c r="BG58" s="364" t="s">
        <v>859</v>
      </c>
      <c r="BH58" s="365" t="s">
        <v>860</v>
      </c>
      <c r="BI58" s="365"/>
      <c r="BJ58" s="26" t="s">
        <v>861</v>
      </c>
      <c r="BK58" s="26" t="s">
        <v>862</v>
      </c>
      <c r="BL58" s="359">
        <v>0</v>
      </c>
      <c r="BM58" s="359">
        <v>0</v>
      </c>
      <c r="BN58" s="359">
        <v>0</v>
      </c>
      <c r="BO58" s="366">
        <f t="shared" si="2"/>
        <v>0</v>
      </c>
      <c r="BP58" s="367">
        <f t="shared" si="3"/>
        <v>0</v>
      </c>
      <c r="BQ58" s="359">
        <v>0</v>
      </c>
      <c r="BR58" s="359">
        <v>0</v>
      </c>
      <c r="BS58" s="359">
        <v>0</v>
      </c>
      <c r="BT58" s="366">
        <f t="shared" si="4"/>
        <v>0</v>
      </c>
      <c r="BU58" s="367">
        <f t="shared" si="5"/>
        <v>0</v>
      </c>
      <c r="BV58" s="414">
        <v>25</v>
      </c>
      <c r="BW58" s="414">
        <v>25</v>
      </c>
      <c r="BX58" s="414">
        <v>25</v>
      </c>
      <c r="BY58" s="366">
        <f t="shared" si="6"/>
        <v>75</v>
      </c>
      <c r="BZ58" s="367">
        <f t="shared" si="7"/>
        <v>0.75</v>
      </c>
      <c r="CA58" s="359">
        <v>0</v>
      </c>
      <c r="CB58" s="359">
        <v>0</v>
      </c>
      <c r="CC58" s="359">
        <v>0</v>
      </c>
      <c r="CD58" s="366">
        <f t="shared" si="8"/>
        <v>0</v>
      </c>
      <c r="CE58" s="367">
        <f t="shared" si="9"/>
        <v>0</v>
      </c>
      <c r="CF58" s="368">
        <f t="shared" si="10"/>
        <v>75</v>
      </c>
      <c r="CG58" s="359">
        <f t="shared" si="11"/>
        <v>0.75</v>
      </c>
      <c r="CH58" s="369"/>
      <c r="CI58" s="369"/>
      <c r="CJ58" s="370">
        <v>0</v>
      </c>
      <c r="CK58" s="370">
        <v>0</v>
      </c>
      <c r="CL58" s="370">
        <v>0</v>
      </c>
      <c r="CM58" s="375">
        <v>9876421.9800000004</v>
      </c>
      <c r="CN58" s="374">
        <f t="shared" si="12"/>
        <v>0</v>
      </c>
      <c r="CO58" s="370">
        <f t="shared" si="13"/>
        <v>0</v>
      </c>
      <c r="CP58" s="370">
        <v>0</v>
      </c>
      <c r="CQ58" s="370">
        <v>0</v>
      </c>
      <c r="CR58" s="435">
        <v>0</v>
      </c>
      <c r="CS58" s="374">
        <v>0</v>
      </c>
      <c r="CT58" s="375">
        <f t="shared" si="14"/>
        <v>0</v>
      </c>
      <c r="CU58" s="370">
        <f t="shared" si="15"/>
        <v>0</v>
      </c>
      <c r="CV58" s="378">
        <f>2469105.495</f>
        <v>2469105.4950000001</v>
      </c>
      <c r="CW58" s="370">
        <v>2469105.4950000001</v>
      </c>
      <c r="CX58" s="372">
        <v>2469105.4950000001</v>
      </c>
      <c r="CY58" s="374">
        <v>0</v>
      </c>
      <c r="CZ58" s="375">
        <f t="shared" si="16"/>
        <v>7407316.4850000003</v>
      </c>
      <c r="DA58" s="370">
        <f t="shared" si="17"/>
        <v>0.75</v>
      </c>
      <c r="DB58" s="370">
        <v>2469105.4950000001</v>
      </c>
      <c r="DC58" s="370">
        <v>0</v>
      </c>
      <c r="DD58" s="372">
        <v>0</v>
      </c>
      <c r="DE58" s="374">
        <v>0</v>
      </c>
      <c r="DF58" s="375">
        <f t="shared" si="19"/>
        <v>2469105.4950000001</v>
      </c>
      <c r="DG58" s="370">
        <f t="shared" si="20"/>
        <v>0.25</v>
      </c>
      <c r="DH58" s="376">
        <f t="shared" si="21"/>
        <v>9876421.9800000004</v>
      </c>
      <c r="DI58" s="376">
        <f t="shared" si="22"/>
        <v>9876421.9800000004</v>
      </c>
      <c r="DJ58" s="370">
        <f t="shared" si="23"/>
        <v>1</v>
      </c>
      <c r="DK58" s="370"/>
      <c r="DL58" s="377">
        <f t="shared" si="24"/>
        <v>9876421.9800000004</v>
      </c>
      <c r="DM58" s="370">
        <f t="shared" si="25"/>
        <v>9876421.9800000004</v>
      </c>
      <c r="DN58" s="370">
        <f t="shared" si="26"/>
        <v>0</v>
      </c>
      <c r="DO58" s="370">
        <f t="shared" si="27"/>
        <v>0</v>
      </c>
      <c r="DP58" s="370">
        <f t="shared" si="28"/>
        <v>0</v>
      </c>
      <c r="DQ58" s="378">
        <f t="shared" si="29"/>
        <v>9876421.9800000004</v>
      </c>
      <c r="DR58" s="370">
        <f t="shared" si="30"/>
        <v>0</v>
      </c>
      <c r="DS58" s="370">
        <f t="shared" si="31"/>
        <v>0</v>
      </c>
      <c r="DT58" s="370">
        <f t="shared" si="32"/>
        <v>7407316.4850000003</v>
      </c>
      <c r="DU58" s="370">
        <f t="shared" si="33"/>
        <v>2469105.4950000001</v>
      </c>
      <c r="DW58" s="370">
        <v>2469105.4950000001</v>
      </c>
      <c r="DX58" s="372">
        <v>2469105.4950000001</v>
      </c>
      <c r="DY58" s="300">
        <v>2469105.4950000001</v>
      </c>
      <c r="DZ58" s="381">
        <f t="shared" si="34"/>
        <v>888877.97820000001</v>
      </c>
      <c r="EA58" s="574">
        <f t="shared" si="35"/>
        <v>10765299.9582</v>
      </c>
      <c r="EB58" s="608"/>
    </row>
    <row r="59" spans="1:133" ht="102" hidden="1" customHeight="1" thickTop="1" thickBot="1">
      <c r="A59" s="133">
        <v>1</v>
      </c>
      <c r="B59" s="411" t="s">
        <v>6</v>
      </c>
      <c r="C59" s="135" t="s">
        <v>304</v>
      </c>
      <c r="D59" s="135" t="s">
        <v>305</v>
      </c>
      <c r="E59" s="412" t="s">
        <v>114</v>
      </c>
      <c r="F59" s="347" t="s">
        <v>306</v>
      </c>
      <c r="G59" s="412" t="s">
        <v>442</v>
      </c>
      <c r="H59" s="347" t="s">
        <v>457</v>
      </c>
      <c r="I59" s="347" t="s">
        <v>849</v>
      </c>
      <c r="J59" s="32">
        <v>44</v>
      </c>
      <c r="K59" s="348" t="s">
        <v>469</v>
      </c>
      <c r="L59" s="40" t="s">
        <v>470</v>
      </c>
      <c r="M59" s="40" t="s">
        <v>839</v>
      </c>
      <c r="N59" s="349" t="s">
        <v>11</v>
      </c>
      <c r="O59" s="350">
        <v>19</v>
      </c>
      <c r="P59" s="392" t="s">
        <v>19</v>
      </c>
      <c r="Q59" s="2">
        <v>1905</v>
      </c>
      <c r="R59" s="32">
        <v>1905026</v>
      </c>
      <c r="S59" s="39" t="s">
        <v>47</v>
      </c>
      <c r="T59" s="39" t="s">
        <v>450</v>
      </c>
      <c r="U59" s="32">
        <v>190502600</v>
      </c>
      <c r="V59" s="40" t="s">
        <v>48</v>
      </c>
      <c r="W59" s="355" t="s">
        <v>316</v>
      </c>
      <c r="X59" s="385" t="e">
        <f>BE59+#REF!+#REF!+#REF!</f>
        <v>#REF!</v>
      </c>
      <c r="Y59" s="355"/>
      <c r="Z59" s="355"/>
      <c r="AA59" s="355"/>
      <c r="AB59" s="355"/>
      <c r="AC59" s="385">
        <f>BE62+BE63+BE64</f>
        <v>34128000</v>
      </c>
      <c r="AD59" s="355"/>
      <c r="AE59" s="355"/>
      <c r="AF59" s="355"/>
      <c r="AG59" s="355"/>
      <c r="AH59" s="356" t="e">
        <f t="shared" si="0"/>
        <v>#REF!</v>
      </c>
      <c r="AI59" s="357" t="s">
        <v>214</v>
      </c>
      <c r="AJ59" s="80">
        <v>1</v>
      </c>
      <c r="AK59" s="80">
        <v>1</v>
      </c>
      <c r="AL59" s="80">
        <v>1</v>
      </c>
      <c r="AM59" s="80">
        <v>1</v>
      </c>
      <c r="AN59" s="80">
        <v>1</v>
      </c>
      <c r="AO59" s="358">
        <v>1</v>
      </c>
      <c r="AP59" s="33">
        <f t="shared" si="1"/>
        <v>100</v>
      </c>
      <c r="AQ59" s="359" t="s">
        <v>707</v>
      </c>
      <c r="AR59" s="25">
        <v>0</v>
      </c>
      <c r="AS59" s="25">
        <v>50</v>
      </c>
      <c r="AT59" s="25">
        <v>50</v>
      </c>
      <c r="AU59" s="25">
        <v>0</v>
      </c>
      <c r="AV59" s="392" t="s">
        <v>678</v>
      </c>
      <c r="AW59" s="39" t="s">
        <v>745</v>
      </c>
      <c r="AX59" s="39" t="s">
        <v>867</v>
      </c>
      <c r="AY59" s="25">
        <v>389</v>
      </c>
      <c r="AZ59" s="39" t="s">
        <v>729</v>
      </c>
      <c r="BA59" s="40" t="s">
        <v>47</v>
      </c>
      <c r="BB59" s="360" t="s">
        <v>730</v>
      </c>
      <c r="BC59" s="361" t="s">
        <v>683</v>
      </c>
      <c r="BD59" s="40" t="s">
        <v>731</v>
      </c>
      <c r="BE59" s="421">
        <v>24563999</v>
      </c>
      <c r="BF59" s="363" t="s">
        <v>771</v>
      </c>
      <c r="BG59" s="364" t="s">
        <v>868</v>
      </c>
      <c r="BH59" s="365" t="s">
        <v>869</v>
      </c>
      <c r="BI59" s="365"/>
      <c r="BJ59" s="26" t="s">
        <v>870</v>
      </c>
      <c r="BK59" s="26" t="s">
        <v>871</v>
      </c>
      <c r="BL59" s="359">
        <v>0</v>
      </c>
      <c r="BM59" s="359">
        <v>0</v>
      </c>
      <c r="BN59" s="359">
        <v>0</v>
      </c>
      <c r="BO59" s="366">
        <f t="shared" si="2"/>
        <v>0</v>
      </c>
      <c r="BP59" s="367">
        <f t="shared" si="3"/>
        <v>0</v>
      </c>
      <c r="BQ59" s="359">
        <v>0</v>
      </c>
      <c r="BR59" s="359">
        <v>0</v>
      </c>
      <c r="BS59" s="359">
        <v>0</v>
      </c>
      <c r="BT59" s="366">
        <f t="shared" si="4"/>
        <v>0</v>
      </c>
      <c r="BU59" s="367">
        <f t="shared" si="5"/>
        <v>0</v>
      </c>
      <c r="BV59" s="414">
        <v>30</v>
      </c>
      <c r="BW59" s="414">
        <v>30</v>
      </c>
      <c r="BX59" s="414">
        <v>40</v>
      </c>
      <c r="BY59" s="366">
        <f t="shared" si="6"/>
        <v>100</v>
      </c>
      <c r="BZ59" s="367">
        <f t="shared" si="7"/>
        <v>1</v>
      </c>
      <c r="CA59" s="359">
        <v>0</v>
      </c>
      <c r="CB59" s="359">
        <v>0</v>
      </c>
      <c r="CC59" s="359">
        <v>0</v>
      </c>
      <c r="CD59" s="366">
        <f t="shared" si="8"/>
        <v>0</v>
      </c>
      <c r="CE59" s="367" t="e">
        <f t="shared" si="9"/>
        <v>#DIV/0!</v>
      </c>
      <c r="CF59" s="368">
        <f t="shared" si="10"/>
        <v>100</v>
      </c>
      <c r="CG59" s="359">
        <f t="shared" si="11"/>
        <v>1</v>
      </c>
      <c r="CH59" s="369"/>
      <c r="CI59" s="369"/>
      <c r="CJ59" s="370">
        <v>0</v>
      </c>
      <c r="CK59" s="370">
        <v>0</v>
      </c>
      <c r="CL59" s="370">
        <v>0</v>
      </c>
      <c r="CM59" s="375">
        <v>24563999</v>
      </c>
      <c r="CN59" s="374">
        <f t="shared" si="12"/>
        <v>0</v>
      </c>
      <c r="CO59" s="370">
        <f t="shared" si="13"/>
        <v>0</v>
      </c>
      <c r="CP59" s="370">
        <v>0</v>
      </c>
      <c r="CQ59" s="370">
        <v>0</v>
      </c>
      <c r="CR59" s="372">
        <v>0</v>
      </c>
      <c r="CS59" s="374">
        <v>0</v>
      </c>
      <c r="CT59" s="375">
        <f t="shared" si="14"/>
        <v>0</v>
      </c>
      <c r="CU59" s="370">
        <f t="shared" si="15"/>
        <v>0</v>
      </c>
      <c r="CV59" s="372">
        <v>0</v>
      </c>
      <c r="CW59" s="370">
        <v>7369199.7000000002</v>
      </c>
      <c r="CX59" s="372">
        <v>7369199.7000000002</v>
      </c>
      <c r="CY59" s="374">
        <v>0</v>
      </c>
      <c r="CZ59" s="375">
        <f t="shared" si="16"/>
        <v>14738399.4</v>
      </c>
      <c r="DA59" s="370">
        <f t="shared" si="17"/>
        <v>0.6</v>
      </c>
      <c r="DB59" s="370">
        <v>9825599.5999999996</v>
      </c>
      <c r="DC59" s="370">
        <v>0</v>
      </c>
      <c r="DD59" s="372">
        <v>0</v>
      </c>
      <c r="DE59" s="374">
        <v>0</v>
      </c>
      <c r="DF59" s="375">
        <f t="shared" si="19"/>
        <v>9825599.5999999996</v>
      </c>
      <c r="DG59" s="370">
        <f t="shared" si="20"/>
        <v>0.39999999999999997</v>
      </c>
      <c r="DH59" s="376">
        <f t="shared" si="21"/>
        <v>24563999</v>
      </c>
      <c r="DI59" s="376">
        <f t="shared" si="22"/>
        <v>24563999</v>
      </c>
      <c r="DJ59" s="370">
        <f t="shared" si="23"/>
        <v>1</v>
      </c>
      <c r="DK59" s="370"/>
      <c r="DL59" s="377">
        <f t="shared" si="24"/>
        <v>24563999</v>
      </c>
      <c r="DM59" s="370">
        <f t="shared" si="25"/>
        <v>24563999</v>
      </c>
      <c r="DN59" s="370">
        <f t="shared" si="26"/>
        <v>0</v>
      </c>
      <c r="DO59" s="370">
        <f t="shared" si="27"/>
        <v>0</v>
      </c>
      <c r="DP59" s="370">
        <f t="shared" si="28"/>
        <v>0</v>
      </c>
      <c r="DQ59" s="378">
        <f t="shared" si="29"/>
        <v>24563999</v>
      </c>
      <c r="DR59" s="370">
        <f t="shared" si="30"/>
        <v>0</v>
      </c>
      <c r="DS59" s="370">
        <f t="shared" si="31"/>
        <v>0</v>
      </c>
      <c r="DT59" s="370">
        <f t="shared" si="32"/>
        <v>14738399.4</v>
      </c>
      <c r="DU59" s="370">
        <f t="shared" si="33"/>
        <v>9825599.5999999996</v>
      </c>
      <c r="DW59" s="370">
        <v>7369199.7000000002</v>
      </c>
      <c r="DX59" s="372">
        <v>7369199.7000000002</v>
      </c>
      <c r="DY59" s="300">
        <v>0</v>
      </c>
      <c r="DZ59" s="381">
        <f t="shared" si="34"/>
        <v>2210759.91</v>
      </c>
      <c r="EA59" s="576">
        <f t="shared" si="35"/>
        <v>26774758.91</v>
      </c>
      <c r="EB59" s="608"/>
    </row>
    <row r="60" spans="1:133" ht="93" hidden="1" customHeight="1" thickTop="1" thickBot="1">
      <c r="A60" s="133"/>
      <c r="B60" s="411"/>
      <c r="C60" s="135"/>
      <c r="D60" s="135"/>
      <c r="E60" s="412"/>
      <c r="F60" s="347"/>
      <c r="G60" s="412"/>
      <c r="H60" s="347"/>
      <c r="I60" s="347"/>
      <c r="J60" s="32"/>
      <c r="K60" s="348" t="s">
        <v>469</v>
      </c>
      <c r="L60" s="40"/>
      <c r="M60" s="40"/>
      <c r="N60" s="349" t="s">
        <v>11</v>
      </c>
      <c r="O60" s="350">
        <v>19</v>
      </c>
      <c r="P60" s="392" t="s">
        <v>19</v>
      </c>
      <c r="Q60" s="2">
        <v>1905</v>
      </c>
      <c r="R60" s="32">
        <v>1905026</v>
      </c>
      <c r="S60" s="39" t="s">
        <v>47</v>
      </c>
      <c r="T60" s="39" t="s">
        <v>450</v>
      </c>
      <c r="U60" s="32">
        <v>190502600</v>
      </c>
      <c r="V60" s="40" t="s">
        <v>48</v>
      </c>
      <c r="W60" s="355" t="s">
        <v>316</v>
      </c>
      <c r="X60" s="385"/>
      <c r="Y60" s="355"/>
      <c r="Z60" s="355"/>
      <c r="AA60" s="355"/>
      <c r="AB60" s="355"/>
      <c r="AC60" s="385"/>
      <c r="AD60" s="355"/>
      <c r="AE60" s="355"/>
      <c r="AF60" s="355"/>
      <c r="AG60" s="355"/>
      <c r="AH60" s="356"/>
      <c r="AI60" s="357" t="s">
        <v>215</v>
      </c>
      <c r="AJ60" s="80"/>
      <c r="AK60" s="80"/>
      <c r="AL60" s="80"/>
      <c r="AM60" s="80"/>
      <c r="AN60" s="80"/>
      <c r="AO60" s="358"/>
      <c r="AP60" s="33">
        <f>AR60+AS60+AT60+AU60</f>
        <v>100</v>
      </c>
      <c r="AQ60" s="359" t="s">
        <v>707</v>
      </c>
      <c r="AR60" s="25">
        <v>0</v>
      </c>
      <c r="AS60" s="25">
        <v>50</v>
      </c>
      <c r="AT60" s="25">
        <v>50</v>
      </c>
      <c r="AU60" s="25">
        <v>0</v>
      </c>
      <c r="AV60" s="443" t="s">
        <v>678</v>
      </c>
      <c r="AW60" s="444" t="s">
        <v>745</v>
      </c>
      <c r="AX60" s="39" t="s">
        <v>867</v>
      </c>
      <c r="AY60" s="25">
        <v>389</v>
      </c>
      <c r="AZ60" s="39" t="s">
        <v>729</v>
      </c>
      <c r="BA60" s="40" t="s">
        <v>47</v>
      </c>
      <c r="BB60" s="360" t="s">
        <v>730</v>
      </c>
      <c r="BC60" s="361" t="s">
        <v>683</v>
      </c>
      <c r="BD60" s="40" t="s">
        <v>731</v>
      </c>
      <c r="BE60" s="421">
        <v>24563999</v>
      </c>
      <c r="BF60" s="363" t="s">
        <v>771</v>
      </c>
      <c r="BG60" s="364" t="s">
        <v>868</v>
      </c>
      <c r="BH60" s="365" t="s">
        <v>869</v>
      </c>
      <c r="BI60" s="365"/>
      <c r="BJ60" s="26" t="s">
        <v>870</v>
      </c>
      <c r="BK60" s="26" t="s">
        <v>871</v>
      </c>
      <c r="BL60" s="359">
        <v>0</v>
      </c>
      <c r="BM60" s="359">
        <v>0</v>
      </c>
      <c r="BN60" s="359">
        <v>0</v>
      </c>
      <c r="BO60" s="366">
        <f t="shared" si="2"/>
        <v>0</v>
      </c>
      <c r="BP60" s="367">
        <f t="shared" si="3"/>
        <v>0</v>
      </c>
      <c r="BQ60" s="359">
        <v>0</v>
      </c>
      <c r="BR60" s="359">
        <v>20</v>
      </c>
      <c r="BS60" s="359">
        <v>20</v>
      </c>
      <c r="BT60" s="366">
        <f t="shared" si="4"/>
        <v>40</v>
      </c>
      <c r="BU60" s="367">
        <f t="shared" si="5"/>
        <v>0.4</v>
      </c>
      <c r="BV60" s="414">
        <v>20</v>
      </c>
      <c r="BW60" s="414">
        <v>20</v>
      </c>
      <c r="BX60" s="414">
        <v>20</v>
      </c>
      <c r="BY60" s="366">
        <f t="shared" si="6"/>
        <v>60</v>
      </c>
      <c r="BZ60" s="367">
        <f t="shared" si="7"/>
        <v>0.6</v>
      </c>
      <c r="CA60" s="359">
        <v>0</v>
      </c>
      <c r="CB60" s="359">
        <v>0</v>
      </c>
      <c r="CC60" s="359">
        <v>0</v>
      </c>
      <c r="CD60" s="366">
        <f t="shared" si="8"/>
        <v>0</v>
      </c>
      <c r="CE60" s="367" t="e">
        <f t="shared" si="9"/>
        <v>#DIV/0!</v>
      </c>
      <c r="CF60" s="368">
        <f t="shared" si="10"/>
        <v>100</v>
      </c>
      <c r="CG60" s="359"/>
      <c r="CH60" s="369"/>
      <c r="CI60" s="369"/>
      <c r="CJ60" s="370">
        <v>0</v>
      </c>
      <c r="CK60" s="370">
        <v>0</v>
      </c>
      <c r="CL60" s="370">
        <v>0</v>
      </c>
      <c r="CM60" s="375">
        <v>24563999</v>
      </c>
      <c r="CN60" s="374">
        <f t="shared" si="12"/>
        <v>0</v>
      </c>
      <c r="CO60" s="370"/>
      <c r="CP60" s="370">
        <v>0</v>
      </c>
      <c r="CQ60" s="370">
        <v>0</v>
      </c>
      <c r="CR60" s="372">
        <v>4093999.83</v>
      </c>
      <c r="CS60" s="374">
        <v>0</v>
      </c>
      <c r="CT60" s="375">
        <f t="shared" si="14"/>
        <v>4093999.83</v>
      </c>
      <c r="CU60" s="370"/>
      <c r="CV60" s="370">
        <v>4093999.83</v>
      </c>
      <c r="CW60" s="370">
        <v>4093999.83</v>
      </c>
      <c r="CX60" s="372">
        <v>4093999.8333333335</v>
      </c>
      <c r="CY60" s="374">
        <v>0</v>
      </c>
      <c r="CZ60" s="375">
        <f t="shared" si="16"/>
        <v>12281999.493333334</v>
      </c>
      <c r="DA60" s="370"/>
      <c r="DB60" s="370">
        <v>8187999.6799999997</v>
      </c>
      <c r="DC60" s="370">
        <v>0</v>
      </c>
      <c r="DD60" s="372">
        <v>0</v>
      </c>
      <c r="DE60" s="374">
        <v>0</v>
      </c>
      <c r="DF60" s="375">
        <f t="shared" si="19"/>
        <v>8187999.6799999997</v>
      </c>
      <c r="DG60" s="370"/>
      <c r="DH60" s="376">
        <f t="shared" si="21"/>
        <v>24563999</v>
      </c>
      <c r="DI60" s="376">
        <f t="shared" si="22"/>
        <v>24563999.003333334</v>
      </c>
      <c r="DJ60" s="370"/>
      <c r="DK60" s="370"/>
      <c r="DL60" s="377">
        <f t="shared" si="24"/>
        <v>24563999</v>
      </c>
      <c r="DM60" s="370">
        <f t="shared" si="25"/>
        <v>24563999</v>
      </c>
      <c r="DN60" s="370">
        <f t="shared" si="26"/>
        <v>0</v>
      </c>
      <c r="DO60" s="370">
        <f t="shared" si="27"/>
        <v>0</v>
      </c>
      <c r="DP60" s="370">
        <f t="shared" si="28"/>
        <v>0</v>
      </c>
      <c r="DQ60" s="378">
        <f t="shared" si="29"/>
        <v>24563999.003333334</v>
      </c>
      <c r="DR60" s="370">
        <f t="shared" si="30"/>
        <v>0</v>
      </c>
      <c r="DS60" s="370">
        <f t="shared" si="31"/>
        <v>4093999.83</v>
      </c>
      <c r="DT60" s="370">
        <f t="shared" si="32"/>
        <v>12281999.493333334</v>
      </c>
      <c r="DU60" s="370">
        <f t="shared" si="33"/>
        <v>8187999.6799999997</v>
      </c>
      <c r="DW60" s="370">
        <v>4093999.8333333335</v>
      </c>
      <c r="DX60" s="372">
        <v>4093999.8333333335</v>
      </c>
      <c r="DY60" s="300">
        <v>4093999.8333333335</v>
      </c>
      <c r="DZ60" s="381">
        <f t="shared" si="34"/>
        <v>2210759.91</v>
      </c>
      <c r="EA60" s="576">
        <f t="shared" si="35"/>
        <v>26774758.91</v>
      </c>
      <c r="EB60" s="608"/>
    </row>
    <row r="61" spans="1:133" ht="108" hidden="1" customHeight="1" thickTop="1" thickBot="1">
      <c r="A61" s="133"/>
      <c r="B61" s="411"/>
      <c r="C61" s="135"/>
      <c r="D61" s="135"/>
      <c r="E61" s="412"/>
      <c r="F61" s="347"/>
      <c r="G61" s="412"/>
      <c r="H61" s="347"/>
      <c r="I61" s="347"/>
      <c r="J61" s="32"/>
      <c r="K61" s="348" t="s">
        <v>469</v>
      </c>
      <c r="L61" s="40"/>
      <c r="M61" s="40"/>
      <c r="N61" s="349" t="s">
        <v>11</v>
      </c>
      <c r="O61" s="350">
        <v>19</v>
      </c>
      <c r="P61" s="392" t="s">
        <v>19</v>
      </c>
      <c r="Q61" s="2">
        <v>1905</v>
      </c>
      <c r="R61" s="32">
        <v>1905026</v>
      </c>
      <c r="S61" s="39" t="s">
        <v>47</v>
      </c>
      <c r="T61" s="39" t="s">
        <v>450</v>
      </c>
      <c r="U61" s="32">
        <v>190502600</v>
      </c>
      <c r="V61" s="40" t="s">
        <v>48</v>
      </c>
      <c r="W61" s="355" t="s">
        <v>316</v>
      </c>
      <c r="X61" s="385"/>
      <c r="Y61" s="355"/>
      <c r="Z61" s="355"/>
      <c r="AA61" s="355"/>
      <c r="AB61" s="355"/>
      <c r="AC61" s="385"/>
      <c r="AD61" s="355"/>
      <c r="AE61" s="355"/>
      <c r="AF61" s="355"/>
      <c r="AG61" s="355"/>
      <c r="AH61" s="356"/>
      <c r="AI61" s="357" t="s">
        <v>216</v>
      </c>
      <c r="AJ61" s="80"/>
      <c r="AK61" s="80"/>
      <c r="AL61" s="80"/>
      <c r="AM61" s="80"/>
      <c r="AN61" s="80"/>
      <c r="AO61" s="358"/>
      <c r="AP61" s="33">
        <f>AR61+AS61+AT61+AU61</f>
        <v>100</v>
      </c>
      <c r="AQ61" s="359" t="s">
        <v>707</v>
      </c>
      <c r="AR61" s="25">
        <v>0</v>
      </c>
      <c r="AS61" s="25">
        <v>50</v>
      </c>
      <c r="AT61" s="25">
        <v>50</v>
      </c>
      <c r="AU61" s="25">
        <v>0</v>
      </c>
      <c r="AV61" s="443" t="s">
        <v>678</v>
      </c>
      <c r="AW61" s="444" t="s">
        <v>745</v>
      </c>
      <c r="AX61" s="39" t="s">
        <v>872</v>
      </c>
      <c r="AY61" s="25">
        <v>391</v>
      </c>
      <c r="AZ61" s="39" t="s">
        <v>729</v>
      </c>
      <c r="BA61" s="40" t="s">
        <v>47</v>
      </c>
      <c r="BB61" s="360" t="s">
        <v>709</v>
      </c>
      <c r="BC61" s="361" t="s">
        <v>710</v>
      </c>
      <c r="BD61" s="40" t="s">
        <v>698</v>
      </c>
      <c r="BE61" s="391">
        <v>15000000</v>
      </c>
      <c r="BF61" s="43" t="s">
        <v>873</v>
      </c>
      <c r="BG61" s="364" t="s">
        <v>868</v>
      </c>
      <c r="BH61" s="365" t="s">
        <v>869</v>
      </c>
      <c r="BI61" s="365"/>
      <c r="BJ61" s="26" t="s">
        <v>870</v>
      </c>
      <c r="BK61" s="26" t="s">
        <v>871</v>
      </c>
      <c r="BL61" s="359">
        <v>0</v>
      </c>
      <c r="BM61" s="359">
        <v>0</v>
      </c>
      <c r="BN61" s="359">
        <v>0</v>
      </c>
      <c r="BO61" s="366">
        <f t="shared" si="2"/>
        <v>0</v>
      </c>
      <c r="BP61" s="367">
        <f t="shared" si="3"/>
        <v>0</v>
      </c>
      <c r="BQ61" s="359">
        <v>0</v>
      </c>
      <c r="BR61" s="359">
        <v>20</v>
      </c>
      <c r="BS61" s="359">
        <v>20</v>
      </c>
      <c r="BT61" s="366">
        <f t="shared" si="4"/>
        <v>40</v>
      </c>
      <c r="BU61" s="367">
        <f t="shared" si="5"/>
        <v>0.4</v>
      </c>
      <c r="BV61" s="414">
        <v>20</v>
      </c>
      <c r="BW61" s="414">
        <v>20</v>
      </c>
      <c r="BX61" s="414">
        <v>20</v>
      </c>
      <c r="BY61" s="366">
        <f t="shared" si="6"/>
        <v>60</v>
      </c>
      <c r="BZ61" s="367">
        <f t="shared" si="7"/>
        <v>0.6</v>
      </c>
      <c r="CA61" s="359">
        <v>0</v>
      </c>
      <c r="CB61" s="359">
        <v>0</v>
      </c>
      <c r="CC61" s="359">
        <v>0</v>
      </c>
      <c r="CD61" s="366">
        <f t="shared" si="8"/>
        <v>0</v>
      </c>
      <c r="CE61" s="367" t="e">
        <f t="shared" si="9"/>
        <v>#DIV/0!</v>
      </c>
      <c r="CF61" s="368">
        <f t="shared" si="10"/>
        <v>100</v>
      </c>
      <c r="CG61" s="359"/>
      <c r="CH61" s="369"/>
      <c r="CI61" s="369"/>
      <c r="CJ61" s="370">
        <v>0</v>
      </c>
      <c r="CK61" s="370">
        <v>0</v>
      </c>
      <c r="CL61" s="372">
        <v>0</v>
      </c>
      <c r="CM61" s="374">
        <v>15000000</v>
      </c>
      <c r="CN61" s="374">
        <f t="shared" si="12"/>
        <v>0</v>
      </c>
      <c r="CO61" s="370"/>
      <c r="CP61" s="370">
        <v>0</v>
      </c>
      <c r="CQ61" s="370">
        <v>0</v>
      </c>
      <c r="CR61" s="445">
        <v>2307692.3076923075</v>
      </c>
      <c r="CS61" s="374">
        <v>0</v>
      </c>
      <c r="CT61" s="375">
        <f t="shared" si="14"/>
        <v>2307692.3076923075</v>
      </c>
      <c r="CU61" s="370"/>
      <c r="CV61" s="405">
        <v>2307692.3076923075</v>
      </c>
      <c r="CW61" s="370">
        <v>2307692.3076923075</v>
      </c>
      <c r="CX61" s="372">
        <v>2307692.3076923075</v>
      </c>
      <c r="CY61" s="374">
        <v>0</v>
      </c>
      <c r="CZ61" s="375">
        <f t="shared" si="16"/>
        <v>6923076.9230769221</v>
      </c>
      <c r="DA61" s="370"/>
      <c r="DB61" s="370">
        <v>5769230.7699999996</v>
      </c>
      <c r="DC61" s="370">
        <v>0</v>
      </c>
      <c r="DD61" s="372">
        <v>0</v>
      </c>
      <c r="DE61" s="374">
        <v>0</v>
      </c>
      <c r="DF61" s="375">
        <f t="shared" si="19"/>
        <v>5769230.7699999996</v>
      </c>
      <c r="DG61" s="370"/>
      <c r="DH61" s="376">
        <f t="shared" si="21"/>
        <v>15000000</v>
      </c>
      <c r="DI61" s="376">
        <f t="shared" si="22"/>
        <v>15000000.00076923</v>
      </c>
      <c r="DJ61" s="370"/>
      <c r="DK61" s="370"/>
      <c r="DL61" s="377">
        <f t="shared" si="24"/>
        <v>15000000</v>
      </c>
      <c r="DM61" s="370">
        <f t="shared" si="25"/>
        <v>15000000</v>
      </c>
      <c r="DN61" s="370">
        <f t="shared" si="26"/>
        <v>0</v>
      </c>
      <c r="DO61" s="370">
        <f t="shared" si="27"/>
        <v>0</v>
      </c>
      <c r="DP61" s="370">
        <f t="shared" si="28"/>
        <v>0</v>
      </c>
      <c r="DQ61" s="378">
        <f t="shared" si="29"/>
        <v>15000000.00076923</v>
      </c>
      <c r="DR61" s="370">
        <f t="shared" si="30"/>
        <v>0</v>
      </c>
      <c r="DS61" s="370">
        <f t="shared" si="31"/>
        <v>2307692.3076923075</v>
      </c>
      <c r="DT61" s="370">
        <f t="shared" si="32"/>
        <v>6923076.9230769221</v>
      </c>
      <c r="DU61" s="370">
        <f t="shared" si="33"/>
        <v>5769230.7699999996</v>
      </c>
      <c r="DW61" s="370">
        <v>2307692.3076923075</v>
      </c>
      <c r="DX61" s="372">
        <v>2307692.3076923075</v>
      </c>
      <c r="DY61" s="300">
        <v>2307692.3076923075</v>
      </c>
      <c r="DZ61" s="381">
        <f t="shared" si="34"/>
        <v>1350000</v>
      </c>
      <c r="EA61" s="574">
        <f t="shared" si="35"/>
        <v>16350000</v>
      </c>
      <c r="EB61" s="608"/>
      <c r="EC61" s="280" t="s">
        <v>1176</v>
      </c>
    </row>
    <row r="62" spans="1:133" ht="162.75" hidden="1" customHeight="1" thickTop="1" thickBot="1">
      <c r="A62" s="133">
        <v>1</v>
      </c>
      <c r="B62" s="411" t="s">
        <v>6</v>
      </c>
      <c r="C62" s="135" t="s">
        <v>304</v>
      </c>
      <c r="D62" s="135" t="s">
        <v>305</v>
      </c>
      <c r="E62" s="412" t="s">
        <v>114</v>
      </c>
      <c r="F62" s="347" t="s">
        <v>306</v>
      </c>
      <c r="G62" s="412" t="s">
        <v>442</v>
      </c>
      <c r="H62" s="347" t="s">
        <v>457</v>
      </c>
      <c r="I62" s="347" t="s">
        <v>849</v>
      </c>
      <c r="J62" s="32">
        <v>44</v>
      </c>
      <c r="K62" s="348" t="s">
        <v>469</v>
      </c>
      <c r="L62" s="40" t="s">
        <v>470</v>
      </c>
      <c r="M62" s="40" t="s">
        <v>839</v>
      </c>
      <c r="N62" s="349" t="s">
        <v>11</v>
      </c>
      <c r="O62" s="350">
        <v>19</v>
      </c>
      <c r="P62" s="392" t="s">
        <v>19</v>
      </c>
      <c r="Q62" s="2">
        <v>1905</v>
      </c>
      <c r="R62" s="32">
        <v>1905026</v>
      </c>
      <c r="S62" s="39" t="s">
        <v>47</v>
      </c>
      <c r="T62" s="39" t="s">
        <v>450</v>
      </c>
      <c r="U62" s="32">
        <v>190502600</v>
      </c>
      <c r="V62" s="40" t="s">
        <v>48</v>
      </c>
      <c r="W62" s="355" t="s">
        <v>316</v>
      </c>
      <c r="X62" s="355"/>
      <c r="Y62" s="355"/>
      <c r="Z62" s="355"/>
      <c r="AA62" s="355"/>
      <c r="AB62" s="355"/>
      <c r="AC62" s="355"/>
      <c r="AD62" s="355"/>
      <c r="AE62" s="355"/>
      <c r="AF62" s="355"/>
      <c r="AG62" s="355"/>
      <c r="AH62" s="356">
        <f t="shared" ref="AH62:AH103" si="40">SUM(X62:AG62)</f>
        <v>0</v>
      </c>
      <c r="AI62" s="357" t="s">
        <v>217</v>
      </c>
      <c r="AJ62" s="80">
        <v>1</v>
      </c>
      <c r="AK62" s="80">
        <v>1</v>
      </c>
      <c r="AL62" s="80">
        <v>1</v>
      </c>
      <c r="AM62" s="80">
        <v>1</v>
      </c>
      <c r="AN62" s="80">
        <v>1</v>
      </c>
      <c r="AO62" s="358">
        <v>1</v>
      </c>
      <c r="AP62" s="33">
        <f>AR62+AS62+AT62+AU62</f>
        <v>100</v>
      </c>
      <c r="AQ62" s="359" t="s">
        <v>707</v>
      </c>
      <c r="AR62" s="25">
        <v>0</v>
      </c>
      <c r="AS62" s="25">
        <v>30</v>
      </c>
      <c r="AT62" s="25">
        <v>40</v>
      </c>
      <c r="AU62" s="25">
        <v>30</v>
      </c>
      <c r="AV62" s="39" t="s">
        <v>678</v>
      </c>
      <c r="AW62" s="39" t="s">
        <v>745</v>
      </c>
      <c r="AX62" s="39" t="s">
        <v>872</v>
      </c>
      <c r="AY62" s="25">
        <v>391</v>
      </c>
      <c r="AZ62" s="39" t="s">
        <v>729</v>
      </c>
      <c r="BA62" s="40" t="s">
        <v>47</v>
      </c>
      <c r="BB62" s="360" t="s">
        <v>709</v>
      </c>
      <c r="BC62" s="361" t="s">
        <v>710</v>
      </c>
      <c r="BD62" s="40" t="s">
        <v>698</v>
      </c>
      <c r="BE62" s="391">
        <v>11024000</v>
      </c>
      <c r="BF62" s="43" t="s">
        <v>873</v>
      </c>
      <c r="BG62" s="364" t="s">
        <v>868</v>
      </c>
      <c r="BH62" s="365" t="s">
        <v>869</v>
      </c>
      <c r="BI62" s="25"/>
      <c r="BJ62" s="26" t="s">
        <v>870</v>
      </c>
      <c r="BK62" s="26" t="s">
        <v>871</v>
      </c>
      <c r="BL62" s="359">
        <v>0</v>
      </c>
      <c r="BM62" s="359">
        <v>0</v>
      </c>
      <c r="BN62" s="359">
        <v>0</v>
      </c>
      <c r="BO62" s="366">
        <f t="shared" si="2"/>
        <v>0</v>
      </c>
      <c r="BP62" s="367">
        <f t="shared" si="3"/>
        <v>0</v>
      </c>
      <c r="BQ62" s="359">
        <v>0</v>
      </c>
      <c r="BR62" s="359">
        <v>20</v>
      </c>
      <c r="BS62" s="359">
        <v>20</v>
      </c>
      <c r="BT62" s="366">
        <f t="shared" si="4"/>
        <v>40</v>
      </c>
      <c r="BU62" s="367">
        <f t="shared" si="5"/>
        <v>0.4</v>
      </c>
      <c r="BV62" s="359">
        <v>0</v>
      </c>
      <c r="BW62" s="414">
        <v>20</v>
      </c>
      <c r="BX62" s="414">
        <v>20</v>
      </c>
      <c r="BY62" s="366">
        <f t="shared" si="6"/>
        <v>40</v>
      </c>
      <c r="BZ62" s="367">
        <f t="shared" si="7"/>
        <v>0.4</v>
      </c>
      <c r="CA62" s="359">
        <v>0</v>
      </c>
      <c r="CB62" s="359">
        <v>0</v>
      </c>
      <c r="CC62" s="359">
        <v>0</v>
      </c>
      <c r="CD62" s="366">
        <f t="shared" si="8"/>
        <v>0</v>
      </c>
      <c r="CE62" s="367">
        <f t="shared" si="9"/>
        <v>0</v>
      </c>
      <c r="CF62" s="368">
        <f t="shared" si="10"/>
        <v>80</v>
      </c>
      <c r="CG62" s="359">
        <f t="shared" ref="CG62:CG103" si="41">CF62/AP62</f>
        <v>0.8</v>
      </c>
      <c r="CH62" s="369"/>
      <c r="CI62" s="369"/>
      <c r="CJ62" s="370">
        <v>0</v>
      </c>
      <c r="CK62" s="370">
        <v>0</v>
      </c>
      <c r="CL62" s="372">
        <v>0</v>
      </c>
      <c r="CM62" s="374">
        <v>11024000</v>
      </c>
      <c r="CN62" s="374">
        <f t="shared" si="12"/>
        <v>0</v>
      </c>
      <c r="CO62" s="370">
        <f t="shared" ref="CO62:CO101" si="42">CN62/BE62</f>
        <v>0</v>
      </c>
      <c r="CP62" s="370">
        <v>0</v>
      </c>
      <c r="CQ62" s="370">
        <v>0</v>
      </c>
      <c r="CR62" s="445">
        <v>1696000</v>
      </c>
      <c r="CS62" s="374">
        <v>0</v>
      </c>
      <c r="CT62" s="375">
        <f t="shared" si="14"/>
        <v>1696000</v>
      </c>
      <c r="CU62" s="370">
        <f t="shared" ref="CU62:CU101" si="43">CT62/BE62</f>
        <v>0.15384615384615385</v>
      </c>
      <c r="CV62" s="405">
        <v>1696000</v>
      </c>
      <c r="CW62" s="370">
        <v>0</v>
      </c>
      <c r="CX62" s="372">
        <v>2204800</v>
      </c>
      <c r="CY62" s="374">
        <v>0</v>
      </c>
      <c r="CZ62" s="375">
        <f t="shared" si="16"/>
        <v>3900800</v>
      </c>
      <c r="DA62" s="370">
        <f t="shared" ref="DA62:DA101" si="44">CZ62/BE62</f>
        <v>0.35384615384615387</v>
      </c>
      <c r="DB62" s="370">
        <v>2600000</v>
      </c>
      <c r="DC62" s="370">
        <v>2827200</v>
      </c>
      <c r="DD62" s="372">
        <v>0</v>
      </c>
      <c r="DE62" s="374">
        <v>0</v>
      </c>
      <c r="DF62" s="375">
        <f t="shared" si="19"/>
        <v>5427200</v>
      </c>
      <c r="DG62" s="370">
        <f t="shared" ref="DG62:DG101" si="45">DF62/BE62</f>
        <v>0.49230769230769234</v>
      </c>
      <c r="DH62" s="376">
        <f t="shared" si="21"/>
        <v>11024000</v>
      </c>
      <c r="DI62" s="376">
        <f t="shared" si="22"/>
        <v>11024000</v>
      </c>
      <c r="DJ62" s="370">
        <f t="shared" ref="DJ62:DJ101" si="46">DH62/BE62</f>
        <v>1</v>
      </c>
      <c r="DK62" s="370"/>
      <c r="DL62" s="377">
        <f t="shared" si="24"/>
        <v>11024000</v>
      </c>
      <c r="DM62" s="370">
        <f t="shared" si="25"/>
        <v>11024000</v>
      </c>
      <c r="DN62" s="370">
        <f t="shared" si="26"/>
        <v>0</v>
      </c>
      <c r="DO62" s="370">
        <f t="shared" si="27"/>
        <v>0</v>
      </c>
      <c r="DP62" s="370">
        <f t="shared" si="28"/>
        <v>0</v>
      </c>
      <c r="DQ62" s="378">
        <f t="shared" si="29"/>
        <v>11024000</v>
      </c>
      <c r="DR62" s="370">
        <f t="shared" si="30"/>
        <v>0</v>
      </c>
      <c r="DS62" s="370">
        <f t="shared" si="31"/>
        <v>1696000</v>
      </c>
      <c r="DT62" s="370">
        <f t="shared" si="32"/>
        <v>3900800</v>
      </c>
      <c r="DU62" s="370">
        <f t="shared" si="33"/>
        <v>5427200</v>
      </c>
      <c r="DW62" s="370">
        <v>0</v>
      </c>
      <c r="DX62" s="372">
        <v>2204800</v>
      </c>
      <c r="DY62" s="300">
        <v>0</v>
      </c>
      <c r="DZ62" s="381">
        <f t="shared" si="34"/>
        <v>992160</v>
      </c>
      <c r="EA62" s="574">
        <f t="shared" si="35"/>
        <v>12016160</v>
      </c>
      <c r="EB62" s="608"/>
      <c r="EC62" s="280" t="s">
        <v>1176</v>
      </c>
    </row>
    <row r="63" spans="1:133" ht="159" hidden="1" customHeight="1" thickTop="1" thickBot="1">
      <c r="A63" s="133">
        <v>1</v>
      </c>
      <c r="B63" s="411" t="s">
        <v>6</v>
      </c>
      <c r="C63" s="135" t="s">
        <v>304</v>
      </c>
      <c r="D63" s="135" t="s">
        <v>305</v>
      </c>
      <c r="E63" s="412" t="s">
        <v>114</v>
      </c>
      <c r="F63" s="347" t="s">
        <v>306</v>
      </c>
      <c r="G63" s="412" t="s">
        <v>442</v>
      </c>
      <c r="H63" s="347" t="s">
        <v>457</v>
      </c>
      <c r="I63" s="347" t="s">
        <v>849</v>
      </c>
      <c r="J63" s="32">
        <v>44</v>
      </c>
      <c r="K63" s="348" t="s">
        <v>469</v>
      </c>
      <c r="L63" s="40" t="s">
        <v>470</v>
      </c>
      <c r="M63" s="40" t="s">
        <v>839</v>
      </c>
      <c r="N63" s="349" t="s">
        <v>11</v>
      </c>
      <c r="O63" s="350">
        <v>19</v>
      </c>
      <c r="P63" s="392" t="s">
        <v>19</v>
      </c>
      <c r="Q63" s="2">
        <v>1905</v>
      </c>
      <c r="R63" s="32">
        <v>1905026</v>
      </c>
      <c r="S63" s="39" t="s">
        <v>47</v>
      </c>
      <c r="T63" s="39" t="s">
        <v>450</v>
      </c>
      <c r="U63" s="32">
        <v>190502600</v>
      </c>
      <c r="V63" s="40" t="s">
        <v>48</v>
      </c>
      <c r="W63" s="355" t="s">
        <v>316</v>
      </c>
      <c r="X63" s="355"/>
      <c r="Y63" s="355"/>
      <c r="Z63" s="355"/>
      <c r="AA63" s="355"/>
      <c r="AB63" s="355"/>
      <c r="AC63" s="355"/>
      <c r="AD63" s="355"/>
      <c r="AE63" s="355"/>
      <c r="AF63" s="355"/>
      <c r="AG63" s="355"/>
      <c r="AH63" s="356">
        <f t="shared" si="40"/>
        <v>0</v>
      </c>
      <c r="AI63" s="357" t="s">
        <v>218</v>
      </c>
      <c r="AJ63" s="80">
        <v>1</v>
      </c>
      <c r="AK63" s="80">
        <v>1</v>
      </c>
      <c r="AL63" s="80">
        <v>1</v>
      </c>
      <c r="AM63" s="80">
        <v>1</v>
      </c>
      <c r="AN63" s="80">
        <v>1</v>
      </c>
      <c r="AO63" s="358">
        <v>1</v>
      </c>
      <c r="AP63" s="33">
        <f>AR63+AS63+AT63+AU63</f>
        <v>4</v>
      </c>
      <c r="AQ63" s="359" t="s">
        <v>316</v>
      </c>
      <c r="AR63" s="25">
        <v>0</v>
      </c>
      <c r="AS63" s="25">
        <v>1</v>
      </c>
      <c r="AT63" s="25">
        <v>2</v>
      </c>
      <c r="AU63" s="25">
        <v>1</v>
      </c>
      <c r="AV63" s="444" t="s">
        <v>678</v>
      </c>
      <c r="AW63" s="444" t="s">
        <v>874</v>
      </c>
      <c r="AX63" s="39" t="s">
        <v>872</v>
      </c>
      <c r="AY63" s="25">
        <v>391</v>
      </c>
      <c r="AZ63" s="39" t="s">
        <v>729</v>
      </c>
      <c r="BA63" s="40" t="s">
        <v>47</v>
      </c>
      <c r="BB63" s="360" t="s">
        <v>709</v>
      </c>
      <c r="BC63" s="361" t="s">
        <v>710</v>
      </c>
      <c r="BD63" s="40" t="s">
        <v>698</v>
      </c>
      <c r="BE63" s="391">
        <v>19080000</v>
      </c>
      <c r="BF63" s="43" t="s">
        <v>873</v>
      </c>
      <c r="BG63" s="364" t="s">
        <v>868</v>
      </c>
      <c r="BH63" s="365" t="s">
        <v>869</v>
      </c>
      <c r="BI63" s="25"/>
      <c r="BJ63" s="26" t="s">
        <v>870</v>
      </c>
      <c r="BK63" s="26" t="s">
        <v>871</v>
      </c>
      <c r="BL63" s="359">
        <v>0</v>
      </c>
      <c r="BM63" s="359">
        <v>0</v>
      </c>
      <c r="BN63" s="359">
        <v>0</v>
      </c>
      <c r="BO63" s="366">
        <f t="shared" si="2"/>
        <v>0</v>
      </c>
      <c r="BP63" s="367">
        <f t="shared" si="3"/>
        <v>0</v>
      </c>
      <c r="BQ63" s="359">
        <v>0</v>
      </c>
      <c r="BR63" s="359">
        <v>2</v>
      </c>
      <c r="BS63" s="359">
        <v>0</v>
      </c>
      <c r="BT63" s="366">
        <f t="shared" si="4"/>
        <v>2</v>
      </c>
      <c r="BU63" s="367">
        <f t="shared" si="5"/>
        <v>0.5</v>
      </c>
      <c r="BV63" s="359">
        <v>1</v>
      </c>
      <c r="BW63" s="359">
        <v>0</v>
      </c>
      <c r="BX63" s="359">
        <v>1</v>
      </c>
      <c r="BY63" s="366">
        <f t="shared" si="6"/>
        <v>2</v>
      </c>
      <c r="BZ63" s="367">
        <f t="shared" si="7"/>
        <v>0.5</v>
      </c>
      <c r="CA63" s="359">
        <v>0</v>
      </c>
      <c r="CB63" s="359">
        <v>0</v>
      </c>
      <c r="CC63" s="359">
        <v>0</v>
      </c>
      <c r="CD63" s="366">
        <f t="shared" si="8"/>
        <v>0</v>
      </c>
      <c r="CE63" s="367">
        <f t="shared" si="9"/>
        <v>0</v>
      </c>
      <c r="CF63" s="368">
        <f t="shared" si="10"/>
        <v>4</v>
      </c>
      <c r="CG63" s="359">
        <f t="shared" si="41"/>
        <v>1</v>
      </c>
      <c r="CH63" s="369"/>
      <c r="CI63" s="369"/>
      <c r="CJ63" s="370">
        <v>0</v>
      </c>
      <c r="CK63" s="370">
        <v>0</v>
      </c>
      <c r="CL63" s="372">
        <v>0</v>
      </c>
      <c r="CM63" s="374">
        <v>19080000</v>
      </c>
      <c r="CN63" s="374">
        <f t="shared" si="12"/>
        <v>0</v>
      </c>
      <c r="CO63" s="370">
        <f t="shared" si="42"/>
        <v>0</v>
      </c>
      <c r="CP63" s="370">
        <v>0</v>
      </c>
      <c r="CQ63" s="370">
        <v>0</v>
      </c>
      <c r="CR63" s="445">
        <v>9540000</v>
      </c>
      <c r="CS63" s="374">
        <v>0</v>
      </c>
      <c r="CT63" s="375">
        <f t="shared" si="14"/>
        <v>9540000</v>
      </c>
      <c r="CU63" s="370">
        <f t="shared" si="43"/>
        <v>0.5</v>
      </c>
      <c r="CV63" s="378">
        <v>283714.06</v>
      </c>
      <c r="CW63" s="370">
        <v>4770000</v>
      </c>
      <c r="CX63" s="372">
        <v>0</v>
      </c>
      <c r="CY63" s="374">
        <v>0</v>
      </c>
      <c r="CZ63" s="375">
        <f t="shared" si="16"/>
        <v>5053714.0599999996</v>
      </c>
      <c r="DA63" s="370">
        <f t="shared" si="44"/>
        <v>0.26486970964360584</v>
      </c>
      <c r="DB63" s="370">
        <v>4770000</v>
      </c>
      <c r="DC63" s="370">
        <v>0</v>
      </c>
      <c r="DD63" s="372">
        <v>0</v>
      </c>
      <c r="DE63" s="374">
        <v>0</v>
      </c>
      <c r="DF63" s="375">
        <f t="shared" si="19"/>
        <v>4770000</v>
      </c>
      <c r="DG63" s="370">
        <f t="shared" si="45"/>
        <v>0.25</v>
      </c>
      <c r="DH63" s="376">
        <f t="shared" si="21"/>
        <v>19080000</v>
      </c>
      <c r="DI63" s="376">
        <f t="shared" si="22"/>
        <v>19363714.059999999</v>
      </c>
      <c r="DJ63" s="370">
        <f t="shared" si="46"/>
        <v>1</v>
      </c>
      <c r="DK63" s="370"/>
      <c r="DL63" s="377">
        <f t="shared" si="24"/>
        <v>19080000</v>
      </c>
      <c r="DM63" s="370">
        <f t="shared" si="25"/>
        <v>19080000</v>
      </c>
      <c r="DN63" s="370">
        <f t="shared" si="26"/>
        <v>0</v>
      </c>
      <c r="DO63" s="370">
        <f t="shared" si="27"/>
        <v>0</v>
      </c>
      <c r="DP63" s="370">
        <f t="shared" si="28"/>
        <v>0</v>
      </c>
      <c r="DQ63" s="378">
        <f t="shared" si="29"/>
        <v>19363714.059999999</v>
      </c>
      <c r="DR63" s="370">
        <f t="shared" si="30"/>
        <v>0</v>
      </c>
      <c r="DS63" s="370">
        <f t="shared" si="31"/>
        <v>9540000</v>
      </c>
      <c r="DT63" s="370">
        <f t="shared" si="32"/>
        <v>5053714.0599999996</v>
      </c>
      <c r="DU63" s="370">
        <f t="shared" si="33"/>
        <v>4770000</v>
      </c>
      <c r="DW63" s="370">
        <v>4770000</v>
      </c>
      <c r="DX63" s="372">
        <v>0</v>
      </c>
      <c r="DY63" s="300">
        <v>0</v>
      </c>
      <c r="DZ63" s="381">
        <f t="shared" si="34"/>
        <v>1717200</v>
      </c>
      <c r="EA63" s="574">
        <f t="shared" si="35"/>
        <v>20797200</v>
      </c>
      <c r="EB63" s="608"/>
      <c r="EC63" s="280" t="s">
        <v>1176</v>
      </c>
    </row>
    <row r="64" spans="1:133" ht="145.5" hidden="1" customHeight="1" thickTop="1" thickBot="1">
      <c r="A64" s="133">
        <v>1</v>
      </c>
      <c r="B64" s="411" t="s">
        <v>6</v>
      </c>
      <c r="C64" s="135" t="s">
        <v>304</v>
      </c>
      <c r="D64" s="135" t="s">
        <v>305</v>
      </c>
      <c r="E64" s="412" t="s">
        <v>114</v>
      </c>
      <c r="F64" s="347" t="s">
        <v>306</v>
      </c>
      <c r="G64" s="412" t="s">
        <v>442</v>
      </c>
      <c r="H64" s="347" t="s">
        <v>457</v>
      </c>
      <c r="I64" s="347" t="s">
        <v>849</v>
      </c>
      <c r="J64" s="32">
        <v>44</v>
      </c>
      <c r="K64" s="348" t="s">
        <v>469</v>
      </c>
      <c r="L64" s="40" t="s">
        <v>470</v>
      </c>
      <c r="M64" s="40" t="s">
        <v>839</v>
      </c>
      <c r="N64" s="349" t="s">
        <v>11</v>
      </c>
      <c r="O64" s="350">
        <v>19</v>
      </c>
      <c r="P64" s="392" t="s">
        <v>19</v>
      </c>
      <c r="Q64" s="2">
        <v>1905</v>
      </c>
      <c r="R64" s="32">
        <v>1905026</v>
      </c>
      <c r="S64" s="39" t="s">
        <v>47</v>
      </c>
      <c r="T64" s="39" t="s">
        <v>450</v>
      </c>
      <c r="U64" s="32">
        <v>190502600</v>
      </c>
      <c r="V64" s="40" t="s">
        <v>48</v>
      </c>
      <c r="W64" s="355" t="s">
        <v>316</v>
      </c>
      <c r="X64" s="355"/>
      <c r="Y64" s="355"/>
      <c r="Z64" s="355"/>
      <c r="AA64" s="355"/>
      <c r="AB64" s="355"/>
      <c r="AC64" s="355"/>
      <c r="AD64" s="355"/>
      <c r="AE64" s="355"/>
      <c r="AF64" s="355"/>
      <c r="AG64" s="355"/>
      <c r="AH64" s="356">
        <f t="shared" si="40"/>
        <v>0</v>
      </c>
      <c r="AI64" s="397" t="s">
        <v>219</v>
      </c>
      <c r="AJ64" s="80">
        <v>1</v>
      </c>
      <c r="AK64" s="80">
        <v>1</v>
      </c>
      <c r="AL64" s="80">
        <v>1</v>
      </c>
      <c r="AM64" s="80">
        <v>1</v>
      </c>
      <c r="AN64" s="80">
        <v>1</v>
      </c>
      <c r="AO64" s="358">
        <v>1</v>
      </c>
      <c r="AP64" s="33">
        <f>AR64+AS64+AT64+AU64</f>
        <v>100</v>
      </c>
      <c r="AQ64" s="359" t="s">
        <v>707</v>
      </c>
      <c r="AR64" s="25">
        <v>0</v>
      </c>
      <c r="AS64" s="25">
        <v>30</v>
      </c>
      <c r="AT64" s="25">
        <v>40</v>
      </c>
      <c r="AU64" s="25">
        <v>30</v>
      </c>
      <c r="AV64" s="39" t="s">
        <v>678</v>
      </c>
      <c r="AW64" s="39" t="s">
        <v>745</v>
      </c>
      <c r="AX64" s="39" t="s">
        <v>872</v>
      </c>
      <c r="AY64" s="25">
        <v>391</v>
      </c>
      <c r="AZ64" s="39" t="s">
        <v>729</v>
      </c>
      <c r="BA64" s="40" t="s">
        <v>47</v>
      </c>
      <c r="BB64" s="360" t="s">
        <v>709</v>
      </c>
      <c r="BC64" s="361" t="s">
        <v>710</v>
      </c>
      <c r="BD64" s="40" t="s">
        <v>698</v>
      </c>
      <c r="BE64" s="421">
        <v>4024000</v>
      </c>
      <c r="BF64" s="43" t="s">
        <v>873</v>
      </c>
      <c r="BG64" s="364" t="s">
        <v>868</v>
      </c>
      <c r="BH64" s="365" t="s">
        <v>869</v>
      </c>
      <c r="BI64" s="25"/>
      <c r="BJ64" s="26" t="s">
        <v>870</v>
      </c>
      <c r="BK64" s="26" t="s">
        <v>871</v>
      </c>
      <c r="BL64" s="359">
        <v>0</v>
      </c>
      <c r="BM64" s="359">
        <v>0</v>
      </c>
      <c r="BN64" s="359">
        <v>0</v>
      </c>
      <c r="BO64" s="366">
        <f t="shared" si="2"/>
        <v>0</v>
      </c>
      <c r="BP64" s="367">
        <f t="shared" si="3"/>
        <v>0</v>
      </c>
      <c r="BQ64" s="359">
        <v>0</v>
      </c>
      <c r="BR64" s="359">
        <v>20</v>
      </c>
      <c r="BS64" s="359">
        <v>20</v>
      </c>
      <c r="BT64" s="366">
        <f t="shared" si="4"/>
        <v>40</v>
      </c>
      <c r="BU64" s="367">
        <f t="shared" si="5"/>
        <v>0.4</v>
      </c>
      <c r="BV64" s="414">
        <v>20</v>
      </c>
      <c r="BW64" s="414">
        <v>20</v>
      </c>
      <c r="BX64" s="414">
        <v>20</v>
      </c>
      <c r="BY64" s="366">
        <f t="shared" si="6"/>
        <v>60</v>
      </c>
      <c r="BZ64" s="367">
        <f t="shared" si="7"/>
        <v>0.6</v>
      </c>
      <c r="CA64" s="359">
        <v>0</v>
      </c>
      <c r="CB64" s="359">
        <v>0</v>
      </c>
      <c r="CC64" s="359">
        <v>0</v>
      </c>
      <c r="CD64" s="366">
        <f t="shared" si="8"/>
        <v>0</v>
      </c>
      <c r="CE64" s="367">
        <f t="shared" si="9"/>
        <v>0</v>
      </c>
      <c r="CF64" s="368">
        <f t="shared" si="10"/>
        <v>100</v>
      </c>
      <c r="CG64" s="359">
        <f t="shared" si="41"/>
        <v>1</v>
      </c>
      <c r="CH64" s="369"/>
      <c r="CI64" s="369"/>
      <c r="CJ64" s="370">
        <v>0</v>
      </c>
      <c r="CK64" s="370">
        <v>0</v>
      </c>
      <c r="CL64" s="372">
        <v>0</v>
      </c>
      <c r="CM64" s="374">
        <v>4024000</v>
      </c>
      <c r="CN64" s="374">
        <f t="shared" si="12"/>
        <v>0</v>
      </c>
      <c r="CO64" s="370">
        <f t="shared" si="42"/>
        <v>0</v>
      </c>
      <c r="CP64" s="370">
        <v>0</v>
      </c>
      <c r="CQ64" s="370">
        <v>0</v>
      </c>
      <c r="CR64" s="445">
        <v>619076.92307692312</v>
      </c>
      <c r="CS64" s="374">
        <v>0</v>
      </c>
      <c r="CT64" s="375">
        <f t="shared" si="14"/>
        <v>619076.92307692312</v>
      </c>
      <c r="CU64" s="370">
        <f t="shared" si="43"/>
        <v>0.15384615384615385</v>
      </c>
      <c r="CV64" s="378">
        <v>0</v>
      </c>
      <c r="CW64" s="370">
        <v>619076.92307692312</v>
      </c>
      <c r="CX64" s="372">
        <v>619076.92307692312</v>
      </c>
      <c r="CY64" s="374">
        <v>0</v>
      </c>
      <c r="CZ64" s="375">
        <f t="shared" si="16"/>
        <v>1238153.8461538462</v>
      </c>
      <c r="DA64" s="370">
        <f t="shared" si="44"/>
        <v>0.30769230769230771</v>
      </c>
      <c r="DB64" s="370">
        <v>1547692.31</v>
      </c>
      <c r="DC64" s="370">
        <v>0</v>
      </c>
      <c r="DD64" s="372">
        <v>0</v>
      </c>
      <c r="DE64" s="374">
        <v>0</v>
      </c>
      <c r="DF64" s="375">
        <f t="shared" si="19"/>
        <v>1547692.31</v>
      </c>
      <c r="DG64" s="370">
        <f t="shared" si="45"/>
        <v>0.38461538518886679</v>
      </c>
      <c r="DH64" s="376">
        <f t="shared" si="21"/>
        <v>4024000</v>
      </c>
      <c r="DI64" s="376">
        <f t="shared" si="22"/>
        <v>3404923.0792307695</v>
      </c>
      <c r="DJ64" s="370">
        <f t="shared" si="46"/>
        <v>1</v>
      </c>
      <c r="DK64" s="370"/>
      <c r="DL64" s="377">
        <f t="shared" si="24"/>
        <v>4024000</v>
      </c>
      <c r="DM64" s="370">
        <f t="shared" si="25"/>
        <v>4024000</v>
      </c>
      <c r="DN64" s="370">
        <f t="shared" si="26"/>
        <v>0</v>
      </c>
      <c r="DO64" s="370">
        <f t="shared" si="27"/>
        <v>0</v>
      </c>
      <c r="DP64" s="370">
        <f t="shared" si="28"/>
        <v>0</v>
      </c>
      <c r="DQ64" s="378">
        <f t="shared" si="29"/>
        <v>3404923.0792307695</v>
      </c>
      <c r="DR64" s="370">
        <f t="shared" si="30"/>
        <v>0</v>
      </c>
      <c r="DS64" s="370">
        <f t="shared" si="31"/>
        <v>619076.92307692312</v>
      </c>
      <c r="DT64" s="370">
        <f t="shared" si="32"/>
        <v>1238153.8461538462</v>
      </c>
      <c r="DU64" s="370">
        <f t="shared" si="33"/>
        <v>1547692.31</v>
      </c>
      <c r="DW64" s="370">
        <v>619076.92307692312</v>
      </c>
      <c r="DX64" s="372">
        <v>619076.92307692312</v>
      </c>
      <c r="DY64" s="300">
        <v>619076.92307692312</v>
      </c>
      <c r="DZ64" s="381">
        <f t="shared" si="34"/>
        <v>362160</v>
      </c>
      <c r="EA64" s="574">
        <f t="shared" si="35"/>
        <v>4386160</v>
      </c>
      <c r="EB64" s="608"/>
      <c r="EC64" s="280" t="s">
        <v>1176</v>
      </c>
    </row>
    <row r="65" spans="1:133" ht="153.75" hidden="1" customHeight="1" thickTop="1" thickBot="1">
      <c r="A65" s="133">
        <v>1</v>
      </c>
      <c r="B65" s="411" t="s">
        <v>6</v>
      </c>
      <c r="C65" s="135" t="s">
        <v>304</v>
      </c>
      <c r="D65" s="135" t="s">
        <v>305</v>
      </c>
      <c r="E65" s="412" t="s">
        <v>114</v>
      </c>
      <c r="F65" s="347" t="s">
        <v>306</v>
      </c>
      <c r="G65" s="110" t="s">
        <v>472</v>
      </c>
      <c r="H65" s="32" t="s">
        <v>474</v>
      </c>
      <c r="I65" s="32" t="s">
        <v>875</v>
      </c>
      <c r="J65" s="32">
        <v>46</v>
      </c>
      <c r="K65" s="348" t="s">
        <v>876</v>
      </c>
      <c r="L65" s="40" t="s">
        <v>877</v>
      </c>
      <c r="M65" s="40" t="s">
        <v>878</v>
      </c>
      <c r="N65" s="349" t="s">
        <v>11</v>
      </c>
      <c r="O65" s="350">
        <v>19</v>
      </c>
      <c r="P65" s="392" t="s">
        <v>19</v>
      </c>
      <c r="Q65" s="2">
        <v>1905</v>
      </c>
      <c r="R65" s="32">
        <v>1905025</v>
      </c>
      <c r="S65" s="39" t="s">
        <v>50</v>
      </c>
      <c r="T65" s="39" t="s">
        <v>478</v>
      </c>
      <c r="U65" s="32">
        <v>190502500</v>
      </c>
      <c r="V65" s="40" t="s">
        <v>51</v>
      </c>
      <c r="W65" s="355" t="s">
        <v>316</v>
      </c>
      <c r="X65" s="385">
        <f>SUM(BE65:BE67)</f>
        <v>24276384.960000001</v>
      </c>
      <c r="Y65" s="355"/>
      <c r="Z65" s="355"/>
      <c r="AA65" s="355"/>
      <c r="AB65" s="355"/>
      <c r="AC65" s="355"/>
      <c r="AD65" s="355"/>
      <c r="AE65" s="355"/>
      <c r="AF65" s="355"/>
      <c r="AG65" s="355"/>
      <c r="AH65" s="356">
        <f t="shared" si="40"/>
        <v>24276384.960000001</v>
      </c>
      <c r="AI65" s="357" t="s">
        <v>221</v>
      </c>
      <c r="AJ65" s="80" t="s">
        <v>759</v>
      </c>
      <c r="AK65" s="80">
        <v>1</v>
      </c>
      <c r="AL65" s="80">
        <v>1</v>
      </c>
      <c r="AM65" s="80">
        <v>1</v>
      </c>
      <c r="AN65" s="80">
        <v>1</v>
      </c>
      <c r="AO65" s="358">
        <v>1</v>
      </c>
      <c r="AP65" s="33">
        <f t="shared" ref="AP65:AP103" si="47">AR65+AS65+AT65+AU65</f>
        <v>300</v>
      </c>
      <c r="AQ65" s="359" t="s">
        <v>316</v>
      </c>
      <c r="AR65" s="25">
        <v>0</v>
      </c>
      <c r="AS65" s="25">
        <v>0</v>
      </c>
      <c r="AT65" s="25">
        <v>150</v>
      </c>
      <c r="AU65" s="25">
        <v>150</v>
      </c>
      <c r="AV65" s="392" t="s">
        <v>776</v>
      </c>
      <c r="AW65" s="392" t="s">
        <v>879</v>
      </c>
      <c r="AX65" s="39" t="s">
        <v>880</v>
      </c>
      <c r="AY65" s="25">
        <v>386</v>
      </c>
      <c r="AZ65" s="39" t="s">
        <v>729</v>
      </c>
      <c r="BA65" s="40" t="s">
        <v>50</v>
      </c>
      <c r="BB65" s="360" t="s">
        <v>730</v>
      </c>
      <c r="BC65" s="361" t="s">
        <v>683</v>
      </c>
      <c r="BD65" s="40" t="s">
        <v>731</v>
      </c>
      <c r="BE65" s="420">
        <v>11092128.32</v>
      </c>
      <c r="BF65" s="363" t="s">
        <v>771</v>
      </c>
      <c r="BG65" s="364" t="s">
        <v>881</v>
      </c>
      <c r="BH65" s="365" t="s">
        <v>882</v>
      </c>
      <c r="BI65" s="365"/>
      <c r="BJ65" s="26" t="s">
        <v>883</v>
      </c>
      <c r="BK65" s="26" t="s">
        <v>884</v>
      </c>
      <c r="BL65" s="359">
        <v>0</v>
      </c>
      <c r="BM65" s="359">
        <v>0</v>
      </c>
      <c r="BN65" s="359">
        <v>0</v>
      </c>
      <c r="BO65" s="366">
        <f t="shared" si="2"/>
        <v>0</v>
      </c>
      <c r="BP65" s="367">
        <f t="shared" si="3"/>
        <v>0</v>
      </c>
      <c r="BQ65" s="359">
        <v>0</v>
      </c>
      <c r="BR65" s="359">
        <v>30</v>
      </c>
      <c r="BS65" s="359">
        <v>58</v>
      </c>
      <c r="BT65" s="366">
        <f t="shared" si="4"/>
        <v>88</v>
      </c>
      <c r="BU65" s="367">
        <f t="shared" si="5"/>
        <v>0.29333333333333333</v>
      </c>
      <c r="BV65" s="359">
        <v>77</v>
      </c>
      <c r="BW65" s="359">
        <v>60</v>
      </c>
      <c r="BX65" s="359">
        <v>75</v>
      </c>
      <c r="BY65" s="366">
        <f t="shared" si="6"/>
        <v>212</v>
      </c>
      <c r="BZ65" s="367">
        <f t="shared" si="7"/>
        <v>0.70666666666666667</v>
      </c>
      <c r="CA65" s="359">
        <v>0</v>
      </c>
      <c r="CB65" s="359">
        <v>0</v>
      </c>
      <c r="CC65" s="359">
        <v>0</v>
      </c>
      <c r="CD65" s="366">
        <f t="shared" si="8"/>
        <v>0</v>
      </c>
      <c r="CE65" s="367">
        <f t="shared" si="9"/>
        <v>0</v>
      </c>
      <c r="CF65" s="368">
        <f t="shared" si="10"/>
        <v>300</v>
      </c>
      <c r="CG65" s="359">
        <f t="shared" si="41"/>
        <v>1</v>
      </c>
      <c r="CH65" s="369"/>
      <c r="CI65" s="369"/>
      <c r="CJ65" s="370">
        <v>0</v>
      </c>
      <c r="CK65" s="370">
        <v>0</v>
      </c>
      <c r="CL65" s="370">
        <v>0</v>
      </c>
      <c r="CM65" s="374">
        <v>11092128.32</v>
      </c>
      <c r="CN65" s="374">
        <f t="shared" si="12"/>
        <v>0</v>
      </c>
      <c r="CO65" s="370">
        <f t="shared" si="42"/>
        <v>0</v>
      </c>
      <c r="CP65" s="370">
        <v>0</v>
      </c>
      <c r="CQ65" s="370">
        <v>0</v>
      </c>
      <c r="CR65" s="372">
        <v>1109212.8319999999</v>
      </c>
      <c r="CS65" s="374">
        <v>0</v>
      </c>
      <c r="CT65" s="375">
        <f t="shared" si="14"/>
        <v>1109212.8319999999</v>
      </c>
      <c r="CU65" s="370">
        <f t="shared" si="43"/>
        <v>9.9999999999999992E-2</v>
      </c>
      <c r="CV65" s="370">
        <v>2144478.1418666667</v>
      </c>
      <c r="CW65" s="370">
        <v>2846979.6021333332</v>
      </c>
      <c r="CX65" s="372">
        <v>2218425</v>
      </c>
      <c r="CY65" s="374">
        <v>0</v>
      </c>
      <c r="CZ65" s="375">
        <f t="shared" si="16"/>
        <v>7209882.7439999999</v>
      </c>
      <c r="DA65" s="370">
        <f t="shared" si="44"/>
        <v>0.64999994013772822</v>
      </c>
      <c r="DB65" s="370">
        <v>2773032.74</v>
      </c>
      <c r="DC65" s="370">
        <v>0</v>
      </c>
      <c r="DD65" s="372">
        <v>0</v>
      </c>
      <c r="DE65" s="374">
        <v>0</v>
      </c>
      <c r="DF65" s="375">
        <f t="shared" si="19"/>
        <v>2773032.74</v>
      </c>
      <c r="DG65" s="370">
        <f t="shared" si="45"/>
        <v>0.25000005950165571</v>
      </c>
      <c r="DH65" s="376">
        <f t="shared" si="21"/>
        <v>11092128.32</v>
      </c>
      <c r="DI65" s="376">
        <f t="shared" si="22"/>
        <v>11092128.316</v>
      </c>
      <c r="DJ65" s="370">
        <f t="shared" si="46"/>
        <v>1</v>
      </c>
      <c r="DK65" s="370"/>
      <c r="DL65" s="377">
        <f t="shared" si="24"/>
        <v>11092128.32</v>
      </c>
      <c r="DM65" s="370">
        <f t="shared" si="25"/>
        <v>11092128.32</v>
      </c>
      <c r="DN65" s="370">
        <f t="shared" si="26"/>
        <v>0</v>
      </c>
      <c r="DO65" s="370">
        <f t="shared" si="27"/>
        <v>0</v>
      </c>
      <c r="DP65" s="370">
        <f t="shared" si="28"/>
        <v>0</v>
      </c>
      <c r="DQ65" s="378">
        <f t="shared" si="29"/>
        <v>11092128.316</v>
      </c>
      <c r="DR65" s="370">
        <f t="shared" si="30"/>
        <v>0</v>
      </c>
      <c r="DS65" s="370">
        <f t="shared" si="31"/>
        <v>1109212.8319999999</v>
      </c>
      <c r="DT65" s="370">
        <f t="shared" si="32"/>
        <v>7209882.7439999999</v>
      </c>
      <c r="DU65" s="370">
        <f t="shared" si="33"/>
        <v>2773032.74</v>
      </c>
      <c r="DW65" s="370">
        <v>2846979.6021333332</v>
      </c>
      <c r="DX65" s="372">
        <v>2218425.6639999999</v>
      </c>
      <c r="DY65" s="300">
        <v>0</v>
      </c>
      <c r="DZ65" s="381">
        <f t="shared" si="34"/>
        <v>998291.54879999999</v>
      </c>
      <c r="EA65" s="382">
        <f t="shared" si="35"/>
        <v>12090419.868799999</v>
      </c>
      <c r="EB65" s="608"/>
    </row>
    <row r="66" spans="1:133" ht="157.5" hidden="1" customHeight="1" thickTop="1" thickBot="1">
      <c r="A66" s="133">
        <v>1</v>
      </c>
      <c r="B66" s="411" t="s">
        <v>6</v>
      </c>
      <c r="C66" s="135" t="s">
        <v>304</v>
      </c>
      <c r="D66" s="135" t="s">
        <v>305</v>
      </c>
      <c r="E66" s="412" t="s">
        <v>114</v>
      </c>
      <c r="F66" s="347" t="s">
        <v>306</v>
      </c>
      <c r="G66" s="110" t="s">
        <v>472</v>
      </c>
      <c r="H66" s="32" t="s">
        <v>474</v>
      </c>
      <c r="I66" s="32" t="s">
        <v>875</v>
      </c>
      <c r="J66" s="32">
        <v>46</v>
      </c>
      <c r="K66" s="348" t="s">
        <v>876</v>
      </c>
      <c r="L66" s="40" t="s">
        <v>877</v>
      </c>
      <c r="M66" s="40" t="s">
        <v>878</v>
      </c>
      <c r="N66" s="349" t="s">
        <v>11</v>
      </c>
      <c r="O66" s="350">
        <v>19</v>
      </c>
      <c r="P66" s="392" t="s">
        <v>19</v>
      </c>
      <c r="Q66" s="2">
        <v>1905</v>
      </c>
      <c r="R66" s="32">
        <v>1905025</v>
      </c>
      <c r="S66" s="39" t="s">
        <v>50</v>
      </c>
      <c r="T66" s="39" t="s">
        <v>478</v>
      </c>
      <c r="U66" s="32">
        <v>190502500</v>
      </c>
      <c r="V66" s="40" t="s">
        <v>51</v>
      </c>
      <c r="W66" s="355" t="s">
        <v>316</v>
      </c>
      <c r="X66" s="355"/>
      <c r="Y66" s="355"/>
      <c r="Z66" s="355"/>
      <c r="AA66" s="355"/>
      <c r="AB66" s="355"/>
      <c r="AC66" s="355"/>
      <c r="AD66" s="355"/>
      <c r="AE66" s="355"/>
      <c r="AF66" s="355"/>
      <c r="AG66" s="355"/>
      <c r="AH66" s="356">
        <f t="shared" si="40"/>
        <v>0</v>
      </c>
      <c r="AI66" s="357" t="s">
        <v>222</v>
      </c>
      <c r="AJ66" s="80" t="s">
        <v>759</v>
      </c>
      <c r="AK66" s="80">
        <v>1</v>
      </c>
      <c r="AL66" s="80">
        <v>1</v>
      </c>
      <c r="AM66" s="80">
        <v>1</v>
      </c>
      <c r="AN66" s="80">
        <v>1</v>
      </c>
      <c r="AO66" s="358">
        <v>1</v>
      </c>
      <c r="AP66" s="33">
        <f t="shared" si="47"/>
        <v>300</v>
      </c>
      <c r="AQ66" s="359" t="s">
        <v>316</v>
      </c>
      <c r="AR66" s="25">
        <v>0</v>
      </c>
      <c r="AS66" s="25">
        <v>0</v>
      </c>
      <c r="AT66" s="25">
        <v>150</v>
      </c>
      <c r="AU66" s="25">
        <v>150</v>
      </c>
      <c r="AV66" s="392" t="s">
        <v>739</v>
      </c>
      <c r="AW66" s="392" t="s">
        <v>879</v>
      </c>
      <c r="AX66" s="39" t="s">
        <v>880</v>
      </c>
      <c r="AY66" s="25">
        <v>386</v>
      </c>
      <c r="AZ66" s="39" t="s">
        <v>729</v>
      </c>
      <c r="BA66" s="40" t="s">
        <v>50</v>
      </c>
      <c r="BB66" s="360" t="s">
        <v>730</v>
      </c>
      <c r="BC66" s="361" t="s">
        <v>683</v>
      </c>
      <c r="BD66" s="40" t="s">
        <v>731</v>
      </c>
      <c r="BE66" s="420">
        <v>11092128.32</v>
      </c>
      <c r="BF66" s="363" t="s">
        <v>771</v>
      </c>
      <c r="BG66" s="364" t="s">
        <v>881</v>
      </c>
      <c r="BH66" s="365" t="s">
        <v>882</v>
      </c>
      <c r="BI66" s="365"/>
      <c r="BJ66" s="26" t="s">
        <v>883</v>
      </c>
      <c r="BK66" s="26" t="s">
        <v>884</v>
      </c>
      <c r="BL66" s="359">
        <v>0</v>
      </c>
      <c r="BM66" s="359">
        <v>0</v>
      </c>
      <c r="BN66" s="359">
        <v>0</v>
      </c>
      <c r="BO66" s="366">
        <f t="shared" si="2"/>
        <v>0</v>
      </c>
      <c r="BP66" s="367">
        <f t="shared" si="3"/>
        <v>0</v>
      </c>
      <c r="BQ66" s="359">
        <v>0</v>
      </c>
      <c r="BR66" s="359">
        <v>30</v>
      </c>
      <c r="BS66" s="359">
        <v>58</v>
      </c>
      <c r="BT66" s="366">
        <f t="shared" si="4"/>
        <v>88</v>
      </c>
      <c r="BU66" s="367">
        <f t="shared" si="5"/>
        <v>0.29333333333333333</v>
      </c>
      <c r="BV66" s="359">
        <v>77</v>
      </c>
      <c r="BW66" s="359">
        <v>60</v>
      </c>
      <c r="BX66" s="359">
        <v>75</v>
      </c>
      <c r="BY66" s="366">
        <f t="shared" si="6"/>
        <v>212</v>
      </c>
      <c r="BZ66" s="367">
        <f t="shared" si="7"/>
        <v>0.70666666666666667</v>
      </c>
      <c r="CA66" s="359">
        <v>0</v>
      </c>
      <c r="CB66" s="359">
        <v>0</v>
      </c>
      <c r="CC66" s="359">
        <v>0</v>
      </c>
      <c r="CD66" s="366">
        <f t="shared" si="8"/>
        <v>0</v>
      </c>
      <c r="CE66" s="367">
        <f t="shared" si="9"/>
        <v>0</v>
      </c>
      <c r="CF66" s="368">
        <f t="shared" si="10"/>
        <v>300</v>
      </c>
      <c r="CG66" s="359">
        <f t="shared" si="41"/>
        <v>1</v>
      </c>
      <c r="CH66" s="369"/>
      <c r="CI66" s="369"/>
      <c r="CJ66" s="370">
        <v>0</v>
      </c>
      <c r="CK66" s="370">
        <v>0</v>
      </c>
      <c r="CL66" s="370">
        <v>0</v>
      </c>
      <c r="CM66" s="394">
        <v>11092128.32</v>
      </c>
      <c r="CN66" s="374">
        <f t="shared" si="12"/>
        <v>0</v>
      </c>
      <c r="CO66" s="370">
        <f t="shared" si="42"/>
        <v>0</v>
      </c>
      <c r="CP66" s="370">
        <v>0</v>
      </c>
      <c r="CQ66" s="370">
        <v>0</v>
      </c>
      <c r="CR66" s="372">
        <v>1109212.8319999999</v>
      </c>
      <c r="CS66" s="374">
        <v>0</v>
      </c>
      <c r="CT66" s="375">
        <f t="shared" si="14"/>
        <v>1109212.8319999999</v>
      </c>
      <c r="CU66" s="370">
        <f t="shared" si="43"/>
        <v>9.9999999999999992E-2</v>
      </c>
      <c r="CV66" s="370">
        <v>2144478.1418666667</v>
      </c>
      <c r="CW66" s="370">
        <v>2846979.6021333332</v>
      </c>
      <c r="CX66" s="372">
        <v>2218425</v>
      </c>
      <c r="CY66" s="374">
        <v>0</v>
      </c>
      <c r="CZ66" s="375">
        <f t="shared" si="16"/>
        <v>7209882.7439999999</v>
      </c>
      <c r="DA66" s="370">
        <f t="shared" si="44"/>
        <v>0.64999994013772822</v>
      </c>
      <c r="DB66" s="370">
        <v>2773032.74</v>
      </c>
      <c r="DC66" s="370">
        <v>0</v>
      </c>
      <c r="DD66" s="372">
        <v>0</v>
      </c>
      <c r="DE66" s="374">
        <v>0</v>
      </c>
      <c r="DF66" s="375">
        <f t="shared" si="19"/>
        <v>2773032.74</v>
      </c>
      <c r="DG66" s="370">
        <f t="shared" si="45"/>
        <v>0.25000005950165571</v>
      </c>
      <c r="DH66" s="376">
        <f t="shared" si="21"/>
        <v>11092128.32</v>
      </c>
      <c r="DI66" s="376">
        <f t="shared" si="22"/>
        <v>11092128.316</v>
      </c>
      <c r="DJ66" s="370">
        <f t="shared" si="46"/>
        <v>1</v>
      </c>
      <c r="DK66" s="370"/>
      <c r="DL66" s="377">
        <f t="shared" si="24"/>
        <v>11092128.32</v>
      </c>
      <c r="DM66" s="370">
        <f t="shared" si="25"/>
        <v>11092128.32</v>
      </c>
      <c r="DN66" s="370">
        <f t="shared" si="26"/>
        <v>0</v>
      </c>
      <c r="DO66" s="370">
        <f t="shared" si="27"/>
        <v>0</v>
      </c>
      <c r="DP66" s="370">
        <f t="shared" si="28"/>
        <v>0</v>
      </c>
      <c r="DQ66" s="378">
        <f t="shared" si="29"/>
        <v>11092128.316</v>
      </c>
      <c r="DR66" s="370">
        <f t="shared" si="30"/>
        <v>0</v>
      </c>
      <c r="DS66" s="370">
        <f t="shared" si="31"/>
        <v>1109212.8319999999</v>
      </c>
      <c r="DT66" s="370">
        <f t="shared" si="32"/>
        <v>7209882.7439999999</v>
      </c>
      <c r="DU66" s="370">
        <f t="shared" si="33"/>
        <v>2773032.74</v>
      </c>
      <c r="DW66" s="370">
        <v>2846979.6021333332</v>
      </c>
      <c r="DX66" s="372">
        <v>2218425.6639999999</v>
      </c>
      <c r="DY66" s="300">
        <v>0</v>
      </c>
      <c r="DZ66" s="381">
        <f t="shared" si="34"/>
        <v>998291.54879999999</v>
      </c>
      <c r="EA66" s="382">
        <f t="shared" si="35"/>
        <v>12090419.868799999</v>
      </c>
      <c r="EB66" s="608"/>
    </row>
    <row r="67" spans="1:133" ht="147.75" hidden="1" customHeight="1" thickTop="1" thickBot="1">
      <c r="A67" s="133">
        <v>1</v>
      </c>
      <c r="B67" s="411" t="s">
        <v>6</v>
      </c>
      <c r="C67" s="135" t="s">
        <v>304</v>
      </c>
      <c r="D67" s="135" t="s">
        <v>305</v>
      </c>
      <c r="E67" s="412" t="s">
        <v>114</v>
      </c>
      <c r="F67" s="347" t="s">
        <v>306</v>
      </c>
      <c r="G67" s="110" t="s">
        <v>472</v>
      </c>
      <c r="H67" s="32" t="s">
        <v>474</v>
      </c>
      <c r="I67" s="32" t="s">
        <v>875</v>
      </c>
      <c r="J67" s="32">
        <v>46</v>
      </c>
      <c r="K67" s="348" t="s">
        <v>876</v>
      </c>
      <c r="L67" s="40" t="s">
        <v>877</v>
      </c>
      <c r="M67" s="40" t="s">
        <v>878</v>
      </c>
      <c r="N67" s="349" t="s">
        <v>11</v>
      </c>
      <c r="O67" s="350">
        <v>19</v>
      </c>
      <c r="P67" s="392" t="s">
        <v>19</v>
      </c>
      <c r="Q67" s="2">
        <v>1905</v>
      </c>
      <c r="R67" s="32">
        <v>1905025</v>
      </c>
      <c r="S67" s="39" t="s">
        <v>50</v>
      </c>
      <c r="T67" s="39" t="s">
        <v>478</v>
      </c>
      <c r="U67" s="32">
        <v>190502500</v>
      </c>
      <c r="V67" s="40" t="s">
        <v>51</v>
      </c>
      <c r="W67" s="355" t="s">
        <v>316</v>
      </c>
      <c r="X67" s="355"/>
      <c r="Y67" s="355"/>
      <c r="Z67" s="355"/>
      <c r="AA67" s="355"/>
      <c r="AB67" s="355"/>
      <c r="AC67" s="355"/>
      <c r="AD67" s="355"/>
      <c r="AE67" s="355"/>
      <c r="AF67" s="355"/>
      <c r="AG67" s="355"/>
      <c r="AH67" s="356">
        <f t="shared" si="40"/>
        <v>0</v>
      </c>
      <c r="AI67" s="357" t="s">
        <v>223</v>
      </c>
      <c r="AJ67" s="80" t="s">
        <v>759</v>
      </c>
      <c r="AK67" s="80">
        <v>1</v>
      </c>
      <c r="AL67" s="80">
        <v>1</v>
      </c>
      <c r="AM67" s="80">
        <v>1</v>
      </c>
      <c r="AN67" s="80">
        <v>1</v>
      </c>
      <c r="AO67" s="358">
        <v>1</v>
      </c>
      <c r="AP67" s="33">
        <f t="shared" si="47"/>
        <v>4</v>
      </c>
      <c r="AQ67" s="359" t="s">
        <v>316</v>
      </c>
      <c r="AR67" s="25">
        <v>0</v>
      </c>
      <c r="AS67" s="25">
        <v>0</v>
      </c>
      <c r="AT67" s="25">
        <v>3</v>
      </c>
      <c r="AU67" s="25">
        <v>1</v>
      </c>
      <c r="AV67" s="392" t="s">
        <v>739</v>
      </c>
      <c r="AW67" s="392" t="s">
        <v>885</v>
      </c>
      <c r="AX67" s="39" t="s">
        <v>880</v>
      </c>
      <c r="AY67" s="25">
        <v>386</v>
      </c>
      <c r="AZ67" s="39" t="s">
        <v>729</v>
      </c>
      <c r="BA67" s="40" t="s">
        <v>50</v>
      </c>
      <c r="BB67" s="360" t="s">
        <v>730</v>
      </c>
      <c r="BC67" s="361" t="s">
        <v>683</v>
      </c>
      <c r="BD67" s="40" t="s">
        <v>731</v>
      </c>
      <c r="BE67" s="421">
        <v>2092128.32</v>
      </c>
      <c r="BF67" s="363" t="s">
        <v>771</v>
      </c>
      <c r="BG67" s="364" t="s">
        <v>881</v>
      </c>
      <c r="BH67" s="365" t="s">
        <v>882</v>
      </c>
      <c r="BI67" s="365"/>
      <c r="BJ67" s="26" t="s">
        <v>883</v>
      </c>
      <c r="BK67" s="26" t="s">
        <v>884</v>
      </c>
      <c r="BL67" s="359">
        <v>0</v>
      </c>
      <c r="BM67" s="359">
        <v>0</v>
      </c>
      <c r="BN67" s="359">
        <v>0</v>
      </c>
      <c r="BO67" s="366">
        <f t="shared" ref="BO67:BO103" si="48">SUM(BL67:BN67)</f>
        <v>0</v>
      </c>
      <c r="BP67" s="367">
        <f t="shared" ref="BP67:BP103" si="49">BO67/AP67</f>
        <v>0</v>
      </c>
      <c r="BQ67" s="359">
        <v>0</v>
      </c>
      <c r="BR67" s="359">
        <v>0</v>
      </c>
      <c r="BS67" s="359">
        <v>0</v>
      </c>
      <c r="BT67" s="366">
        <f t="shared" ref="BT67:BT103" si="50">SUM(BQ67:BS67)</f>
        <v>0</v>
      </c>
      <c r="BU67" s="367">
        <f t="shared" ref="BU67:BU103" si="51">BT67/AP67</f>
        <v>0</v>
      </c>
      <c r="BV67" s="359">
        <v>0</v>
      </c>
      <c r="BW67" s="359">
        <v>1</v>
      </c>
      <c r="BX67" s="359">
        <v>1</v>
      </c>
      <c r="BY67" s="366">
        <f t="shared" ref="BY67:BY103" si="52">SUM(BV67:BX67)</f>
        <v>2</v>
      </c>
      <c r="BZ67" s="367">
        <f t="shared" ref="BZ67:BZ103" si="53">BY67/AP67</f>
        <v>0.5</v>
      </c>
      <c r="CA67" s="359">
        <v>0</v>
      </c>
      <c r="CB67" s="359">
        <v>0</v>
      </c>
      <c r="CC67" s="359">
        <v>0</v>
      </c>
      <c r="CD67" s="366">
        <f t="shared" ref="CD67:CD103" si="54">SUM(CA67:CC67)</f>
        <v>0</v>
      </c>
      <c r="CE67" s="367">
        <f t="shared" ref="CE67:CE103" si="55">CD67/AU67</f>
        <v>0</v>
      </c>
      <c r="CF67" s="368">
        <f t="shared" ref="CF67:CF103" si="56">BO67+BT67+BY67+CD67</f>
        <v>2</v>
      </c>
      <c r="CG67" s="359">
        <f t="shared" si="41"/>
        <v>0.5</v>
      </c>
      <c r="CH67" s="369"/>
      <c r="CI67" s="369"/>
      <c r="CJ67" s="370">
        <v>0</v>
      </c>
      <c r="CK67" s="370">
        <v>0</v>
      </c>
      <c r="CL67" s="372">
        <v>0</v>
      </c>
      <c r="CM67" s="394">
        <v>2092128.32</v>
      </c>
      <c r="CN67" s="374">
        <f t="shared" ref="CN67:CN103" si="57">SUM(CJ67:CL67)</f>
        <v>0</v>
      </c>
      <c r="CO67" s="370">
        <f t="shared" si="42"/>
        <v>0</v>
      </c>
      <c r="CP67" s="370">
        <v>0</v>
      </c>
      <c r="CQ67" s="370">
        <v>0</v>
      </c>
      <c r="CR67" s="372">
        <v>0</v>
      </c>
      <c r="CS67" s="374">
        <v>0</v>
      </c>
      <c r="CT67" s="375">
        <f t="shared" ref="CT67:CT103" si="58">SUM(CP67:CR67)</f>
        <v>0</v>
      </c>
      <c r="CU67" s="370">
        <f t="shared" si="43"/>
        <v>0</v>
      </c>
      <c r="CV67" s="370">
        <v>0</v>
      </c>
      <c r="CW67" s="370">
        <v>0</v>
      </c>
      <c r="CX67" s="372">
        <v>523032.08</v>
      </c>
      <c r="CY67" s="374">
        <v>0</v>
      </c>
      <c r="CZ67" s="375">
        <f t="shared" ref="CZ67:CZ103" si="59">SUM(CV67:CX67)</f>
        <v>523032.08</v>
      </c>
      <c r="DA67" s="370">
        <f t="shared" si="44"/>
        <v>0.25</v>
      </c>
      <c r="DB67" s="370">
        <v>523032.08</v>
      </c>
      <c r="DC67" s="370">
        <v>1046064.16</v>
      </c>
      <c r="DD67" s="372">
        <v>0</v>
      </c>
      <c r="DE67" s="374">
        <v>0</v>
      </c>
      <c r="DF67" s="375">
        <f t="shared" si="19"/>
        <v>1569096.24</v>
      </c>
      <c r="DG67" s="370">
        <f t="shared" si="45"/>
        <v>0.75</v>
      </c>
      <c r="DH67" s="376">
        <f t="shared" ref="DH67:DH104" si="60">$CM67+$CS67+$CY67+$DE67</f>
        <v>2092128.32</v>
      </c>
      <c r="DI67" s="376">
        <f t="shared" si="22"/>
        <v>2092128.32</v>
      </c>
      <c r="DJ67" s="370">
        <f t="shared" si="46"/>
        <v>1</v>
      </c>
      <c r="DK67" s="370"/>
      <c r="DL67" s="377">
        <f t="shared" ref="DL67:DL104" si="61">SUM(DM67:DP67)</f>
        <v>2092128.32</v>
      </c>
      <c r="DM67" s="370">
        <f t="shared" ref="DM67:DM104" si="62">CM67</f>
        <v>2092128.32</v>
      </c>
      <c r="DN67" s="370">
        <f t="shared" ref="DN67:DN104" si="63">CS67</f>
        <v>0</v>
      </c>
      <c r="DO67" s="370">
        <f t="shared" ref="DO67:DO104" si="64">CY67</f>
        <v>0</v>
      </c>
      <c r="DP67" s="370">
        <f t="shared" ref="DP67:DP104" si="65">DE67</f>
        <v>0</v>
      </c>
      <c r="DQ67" s="378">
        <f t="shared" ref="DQ67:DQ104" si="66">SUM(DR67:DU67)</f>
        <v>2092128.32</v>
      </c>
      <c r="DR67" s="370">
        <f t="shared" ref="DR67:DR104" si="67">CN67</f>
        <v>0</v>
      </c>
      <c r="DS67" s="370">
        <f t="shared" ref="DS67:DS104" si="68">CT67</f>
        <v>0</v>
      </c>
      <c r="DT67" s="370">
        <f t="shared" ref="DT67:DT104" si="69">CZ67</f>
        <v>523032.08</v>
      </c>
      <c r="DU67" s="370">
        <f t="shared" ref="DU67:DU104" si="70">DF67</f>
        <v>1569096.24</v>
      </c>
      <c r="DW67" s="370">
        <v>0</v>
      </c>
      <c r="DX67" s="372">
        <v>523032.08</v>
      </c>
      <c r="DY67" s="300">
        <v>0</v>
      </c>
      <c r="DZ67" s="381">
        <f t="shared" si="34"/>
        <v>188291.54879999999</v>
      </c>
      <c r="EA67" s="382">
        <f t="shared" si="35"/>
        <v>2280419.8688000003</v>
      </c>
      <c r="EB67" s="608"/>
    </row>
    <row r="68" spans="1:133" ht="125.25" hidden="1" customHeight="1" thickTop="1" thickBot="1">
      <c r="A68" s="133">
        <v>1</v>
      </c>
      <c r="B68" s="411" t="s">
        <v>6</v>
      </c>
      <c r="C68" s="135" t="s">
        <v>304</v>
      </c>
      <c r="D68" s="135" t="s">
        <v>305</v>
      </c>
      <c r="E68" s="412" t="s">
        <v>114</v>
      </c>
      <c r="F68" s="347" t="s">
        <v>306</v>
      </c>
      <c r="G68" s="412" t="s">
        <v>480</v>
      </c>
      <c r="H68" s="347" t="s">
        <v>482</v>
      </c>
      <c r="I68" s="347" t="s">
        <v>886</v>
      </c>
      <c r="J68" s="32">
        <v>47</v>
      </c>
      <c r="K68" s="419" t="s">
        <v>887</v>
      </c>
      <c r="L68" s="347" t="s">
        <v>888</v>
      </c>
      <c r="M68" s="347" t="s">
        <v>889</v>
      </c>
      <c r="N68" s="349" t="s">
        <v>11</v>
      </c>
      <c r="O68" s="350">
        <v>19</v>
      </c>
      <c r="P68" s="392" t="s">
        <v>19</v>
      </c>
      <c r="Q68" s="76" t="s">
        <v>890</v>
      </c>
      <c r="R68" s="76">
        <v>1905019</v>
      </c>
      <c r="S68" s="47" t="s">
        <v>86</v>
      </c>
      <c r="T68" s="47" t="s">
        <v>494</v>
      </c>
      <c r="U68" s="76">
        <v>190501900</v>
      </c>
      <c r="V68" s="347" t="s">
        <v>7</v>
      </c>
      <c r="W68" s="355" t="s">
        <v>316</v>
      </c>
      <c r="X68" s="356">
        <f>SUM(BE68:BE73)</f>
        <v>108115400</v>
      </c>
      <c r="Y68" s="355"/>
      <c r="Z68" s="355"/>
      <c r="AA68" s="355"/>
      <c r="AB68" s="355"/>
      <c r="AC68" s="355"/>
      <c r="AD68" s="355"/>
      <c r="AE68" s="355"/>
      <c r="AF68" s="355"/>
      <c r="AG68" s="355"/>
      <c r="AH68" s="356">
        <f t="shared" si="40"/>
        <v>108115400</v>
      </c>
      <c r="AI68" s="357" t="s">
        <v>891</v>
      </c>
      <c r="AJ68" s="80" t="s">
        <v>759</v>
      </c>
      <c r="AK68" s="80">
        <v>8000</v>
      </c>
      <c r="AL68" s="80">
        <v>8000</v>
      </c>
      <c r="AM68" s="80">
        <v>8000</v>
      </c>
      <c r="AN68" s="80">
        <v>8000</v>
      </c>
      <c r="AO68" s="386">
        <v>120</v>
      </c>
      <c r="AP68" s="33">
        <f t="shared" si="47"/>
        <v>4</v>
      </c>
      <c r="AQ68" s="359" t="s">
        <v>316</v>
      </c>
      <c r="AR68" s="25">
        <v>0</v>
      </c>
      <c r="AS68" s="25">
        <v>0</v>
      </c>
      <c r="AT68" s="25">
        <v>2</v>
      </c>
      <c r="AU68" s="25">
        <v>2</v>
      </c>
      <c r="AV68" s="392" t="s">
        <v>739</v>
      </c>
      <c r="AW68" s="392" t="s">
        <v>892</v>
      </c>
      <c r="AX68" s="39" t="s">
        <v>893</v>
      </c>
      <c r="AY68" s="25">
        <v>375</v>
      </c>
      <c r="AZ68" s="39" t="s">
        <v>729</v>
      </c>
      <c r="BA68" s="40" t="s">
        <v>894</v>
      </c>
      <c r="BB68" s="360" t="s">
        <v>730</v>
      </c>
      <c r="BC68" s="361" t="s">
        <v>683</v>
      </c>
      <c r="BD68" s="40" t="s">
        <v>731</v>
      </c>
      <c r="BE68" s="391">
        <v>40280000</v>
      </c>
      <c r="BF68" s="363" t="s">
        <v>771</v>
      </c>
      <c r="BG68" s="364" t="s">
        <v>721</v>
      </c>
      <c r="BH68" s="365" t="s">
        <v>722</v>
      </c>
      <c r="BI68" s="365"/>
      <c r="BJ68" s="26" t="s">
        <v>895</v>
      </c>
      <c r="BK68" s="26" t="s">
        <v>896</v>
      </c>
      <c r="BL68" s="359">
        <v>0</v>
      </c>
      <c r="BM68" s="359">
        <v>0</v>
      </c>
      <c r="BN68" s="359">
        <v>0</v>
      </c>
      <c r="BO68" s="366">
        <f t="shared" si="48"/>
        <v>0</v>
      </c>
      <c r="BP68" s="367">
        <f t="shared" si="49"/>
        <v>0</v>
      </c>
      <c r="BQ68" s="359">
        <v>0</v>
      </c>
      <c r="BR68" s="359">
        <v>0</v>
      </c>
      <c r="BS68" s="359">
        <v>0</v>
      </c>
      <c r="BT68" s="366">
        <f t="shared" si="50"/>
        <v>0</v>
      </c>
      <c r="BU68" s="367">
        <f t="shared" si="51"/>
        <v>0</v>
      </c>
      <c r="BV68" s="414">
        <v>1</v>
      </c>
      <c r="BW68" s="414">
        <v>1</v>
      </c>
      <c r="BX68" s="414">
        <v>1</v>
      </c>
      <c r="BY68" s="366">
        <f t="shared" si="52"/>
        <v>3</v>
      </c>
      <c r="BZ68" s="367">
        <f t="shared" si="53"/>
        <v>0.75</v>
      </c>
      <c r="CA68" s="359">
        <v>0</v>
      </c>
      <c r="CB68" s="359">
        <v>0</v>
      </c>
      <c r="CC68" s="359">
        <v>0</v>
      </c>
      <c r="CD68" s="366">
        <f t="shared" si="54"/>
        <v>0</v>
      </c>
      <c r="CE68" s="367">
        <f t="shared" si="55"/>
        <v>0</v>
      </c>
      <c r="CF68" s="368">
        <f t="shared" si="56"/>
        <v>3</v>
      </c>
      <c r="CG68" s="359">
        <f t="shared" si="41"/>
        <v>0.75</v>
      </c>
      <c r="CH68" s="369"/>
      <c r="CI68" s="369"/>
      <c r="CJ68" s="370">
        <v>0</v>
      </c>
      <c r="CK68" s="370">
        <v>0</v>
      </c>
      <c r="CL68" s="372">
        <v>0</v>
      </c>
      <c r="CM68" s="375">
        <v>40280000</v>
      </c>
      <c r="CN68" s="374">
        <f t="shared" si="57"/>
        <v>0</v>
      </c>
      <c r="CO68" s="370">
        <f t="shared" si="42"/>
        <v>0</v>
      </c>
      <c r="CP68" s="370">
        <v>0</v>
      </c>
      <c r="CQ68" s="370">
        <v>0</v>
      </c>
      <c r="CR68" s="372">
        <v>0</v>
      </c>
      <c r="CS68" s="374">
        <v>0</v>
      </c>
      <c r="CT68" s="375">
        <f t="shared" si="58"/>
        <v>0</v>
      </c>
      <c r="CU68" s="370">
        <f t="shared" si="43"/>
        <v>0</v>
      </c>
      <c r="CV68" s="370">
        <v>8056000</v>
      </c>
      <c r="CW68" s="370">
        <v>8056000</v>
      </c>
      <c r="CX68" s="372">
        <v>8056000</v>
      </c>
      <c r="CY68" s="374">
        <v>0</v>
      </c>
      <c r="CZ68" s="375">
        <f t="shared" si="59"/>
        <v>24168000</v>
      </c>
      <c r="DA68" s="370">
        <f t="shared" si="44"/>
        <v>0.6</v>
      </c>
      <c r="DB68" s="372">
        <f>8056000*2</f>
        <v>16112000</v>
      </c>
      <c r="DC68" s="370">
        <v>0</v>
      </c>
      <c r="DD68" s="372">
        <v>0</v>
      </c>
      <c r="DE68" s="374">
        <v>0</v>
      </c>
      <c r="DF68" s="375">
        <f t="shared" ref="DF68:DF104" si="71">SUM(DB68:DD68)</f>
        <v>16112000</v>
      </c>
      <c r="DG68" s="370">
        <f t="shared" si="45"/>
        <v>0.4</v>
      </c>
      <c r="DH68" s="376">
        <f t="shared" si="60"/>
        <v>40280000</v>
      </c>
      <c r="DI68" s="376">
        <f t="shared" ref="DI68:DI104" si="72">$CN68+$CT68+$CZ68+$DF68</f>
        <v>40280000</v>
      </c>
      <c r="DJ68" s="370">
        <f t="shared" si="46"/>
        <v>1</v>
      </c>
      <c r="DK68" s="370"/>
      <c r="DL68" s="377">
        <f t="shared" si="61"/>
        <v>40280000</v>
      </c>
      <c r="DM68" s="370">
        <f t="shared" si="62"/>
        <v>40280000</v>
      </c>
      <c r="DN68" s="370">
        <f t="shared" si="63"/>
        <v>0</v>
      </c>
      <c r="DO68" s="370">
        <f t="shared" si="64"/>
        <v>0</v>
      </c>
      <c r="DP68" s="370">
        <f t="shared" si="65"/>
        <v>0</v>
      </c>
      <c r="DQ68" s="378">
        <f t="shared" si="66"/>
        <v>40280000</v>
      </c>
      <c r="DR68" s="370">
        <f t="shared" si="67"/>
        <v>0</v>
      </c>
      <c r="DS68" s="370">
        <f t="shared" si="68"/>
        <v>0</v>
      </c>
      <c r="DT68" s="370">
        <f t="shared" si="69"/>
        <v>24168000</v>
      </c>
      <c r="DU68" s="370">
        <f t="shared" si="70"/>
        <v>16112000</v>
      </c>
      <c r="DW68" s="370">
        <v>8056000</v>
      </c>
      <c r="DX68" s="372">
        <v>8056000</v>
      </c>
      <c r="DY68" s="300">
        <v>0</v>
      </c>
      <c r="DZ68" s="381">
        <f t="shared" si="34"/>
        <v>3625200</v>
      </c>
      <c r="EA68" s="382">
        <f t="shared" si="35"/>
        <v>43905200</v>
      </c>
      <c r="EB68" s="608"/>
    </row>
    <row r="69" spans="1:133" ht="145.5" hidden="1" customHeight="1" thickTop="1" thickBot="1">
      <c r="A69" s="133">
        <v>1</v>
      </c>
      <c r="B69" s="411" t="s">
        <v>6</v>
      </c>
      <c r="C69" s="135" t="s">
        <v>304</v>
      </c>
      <c r="D69" s="135" t="s">
        <v>305</v>
      </c>
      <c r="E69" s="412" t="s">
        <v>114</v>
      </c>
      <c r="F69" s="347" t="s">
        <v>306</v>
      </c>
      <c r="G69" s="412" t="s">
        <v>480</v>
      </c>
      <c r="H69" s="347" t="s">
        <v>482</v>
      </c>
      <c r="I69" s="347" t="s">
        <v>886</v>
      </c>
      <c r="J69" s="32">
        <v>47</v>
      </c>
      <c r="K69" s="419" t="s">
        <v>887</v>
      </c>
      <c r="L69" s="347" t="s">
        <v>888</v>
      </c>
      <c r="M69" s="347" t="s">
        <v>889</v>
      </c>
      <c r="N69" s="349" t="s">
        <v>11</v>
      </c>
      <c r="O69" s="350">
        <v>19</v>
      </c>
      <c r="P69" s="392" t="s">
        <v>19</v>
      </c>
      <c r="Q69" s="76" t="s">
        <v>890</v>
      </c>
      <c r="R69" s="76">
        <v>1905019</v>
      </c>
      <c r="S69" s="47" t="s">
        <v>86</v>
      </c>
      <c r="T69" s="47" t="s">
        <v>494</v>
      </c>
      <c r="U69" s="76">
        <v>190501900</v>
      </c>
      <c r="V69" s="347" t="s">
        <v>7</v>
      </c>
      <c r="W69" s="355" t="s">
        <v>316</v>
      </c>
      <c r="X69" s="355"/>
      <c r="Y69" s="355"/>
      <c r="Z69" s="355"/>
      <c r="AA69" s="355"/>
      <c r="AB69" s="355"/>
      <c r="AC69" s="355"/>
      <c r="AD69" s="355"/>
      <c r="AE69" s="355"/>
      <c r="AF69" s="355"/>
      <c r="AG69" s="355"/>
      <c r="AH69" s="356">
        <f t="shared" si="40"/>
        <v>0</v>
      </c>
      <c r="AI69" s="357" t="s">
        <v>897</v>
      </c>
      <c r="AJ69" s="80"/>
      <c r="AK69" s="80"/>
      <c r="AL69" s="80"/>
      <c r="AM69" s="80"/>
      <c r="AN69" s="80"/>
      <c r="AO69" s="386">
        <v>700</v>
      </c>
      <c r="AP69" s="23">
        <f t="shared" si="47"/>
        <v>700</v>
      </c>
      <c r="AQ69" s="359" t="s">
        <v>316</v>
      </c>
      <c r="AR69" s="25">
        <v>0</v>
      </c>
      <c r="AS69" s="25">
        <v>150</v>
      </c>
      <c r="AT69" s="25">
        <v>400</v>
      </c>
      <c r="AU69" s="25">
        <v>150</v>
      </c>
      <c r="AV69" s="392" t="s">
        <v>739</v>
      </c>
      <c r="AW69" s="392" t="s">
        <v>898</v>
      </c>
      <c r="AX69" s="39" t="s">
        <v>899</v>
      </c>
      <c r="AY69" s="25">
        <v>376</v>
      </c>
      <c r="AZ69" s="39" t="s">
        <v>729</v>
      </c>
      <c r="BA69" s="40" t="s">
        <v>894</v>
      </c>
      <c r="BB69" s="360" t="s">
        <v>730</v>
      </c>
      <c r="BC69" s="361" t="s">
        <v>683</v>
      </c>
      <c r="BD69" s="40" t="s">
        <v>731</v>
      </c>
      <c r="BE69" s="391">
        <v>17500600</v>
      </c>
      <c r="BF69" s="363" t="s">
        <v>771</v>
      </c>
      <c r="BG69" s="364" t="s">
        <v>900</v>
      </c>
      <c r="BH69" s="365" t="s">
        <v>901</v>
      </c>
      <c r="BI69" s="365"/>
      <c r="BJ69" s="26" t="s">
        <v>902</v>
      </c>
      <c r="BK69" s="26" t="s">
        <v>903</v>
      </c>
      <c r="BL69" s="359">
        <v>0</v>
      </c>
      <c r="BM69" s="359">
        <v>0</v>
      </c>
      <c r="BN69" s="359">
        <v>0</v>
      </c>
      <c r="BO69" s="366">
        <f t="shared" si="48"/>
        <v>0</v>
      </c>
      <c r="BP69" s="367">
        <f t="shared" si="49"/>
        <v>0</v>
      </c>
      <c r="BQ69" s="359">
        <v>0</v>
      </c>
      <c r="BR69" s="359">
        <v>37</v>
      </c>
      <c r="BS69" s="414">
        <v>184</v>
      </c>
      <c r="BT69" s="366">
        <f t="shared" si="50"/>
        <v>221</v>
      </c>
      <c r="BU69" s="367">
        <f t="shared" si="51"/>
        <v>0.31571428571428573</v>
      </c>
      <c r="BV69" s="359">
        <v>174</v>
      </c>
      <c r="BW69" s="359">
        <v>186</v>
      </c>
      <c r="BX69" s="359">
        <v>119</v>
      </c>
      <c r="BY69" s="366">
        <f t="shared" si="52"/>
        <v>479</v>
      </c>
      <c r="BZ69" s="367">
        <f t="shared" si="53"/>
        <v>0.68428571428571427</v>
      </c>
      <c r="CA69" s="359">
        <v>0</v>
      </c>
      <c r="CB69" s="359">
        <v>0</v>
      </c>
      <c r="CC69" s="359">
        <v>0</v>
      </c>
      <c r="CD69" s="366">
        <f t="shared" si="54"/>
        <v>0</v>
      </c>
      <c r="CE69" s="367">
        <f t="shared" si="55"/>
        <v>0</v>
      </c>
      <c r="CF69" s="368">
        <f t="shared" si="56"/>
        <v>700</v>
      </c>
      <c r="CG69" s="359">
        <f t="shared" si="41"/>
        <v>1</v>
      </c>
      <c r="CH69" s="369"/>
      <c r="CI69" s="369"/>
      <c r="CJ69" s="370">
        <v>0</v>
      </c>
      <c r="CK69" s="370">
        <v>0</v>
      </c>
      <c r="CL69" s="372">
        <v>0</v>
      </c>
      <c r="CM69" s="446">
        <v>17500600</v>
      </c>
      <c r="CN69" s="374">
        <f t="shared" si="57"/>
        <v>0</v>
      </c>
      <c r="CO69" s="370">
        <f t="shared" si="42"/>
        <v>0</v>
      </c>
      <c r="CP69" s="370">
        <v>0</v>
      </c>
      <c r="CQ69" s="370">
        <v>0</v>
      </c>
      <c r="CR69" s="372">
        <v>925031.7142857142</v>
      </c>
      <c r="CS69" s="374">
        <v>0</v>
      </c>
      <c r="CT69" s="375">
        <f t="shared" si="58"/>
        <v>925031.7142857142</v>
      </c>
      <c r="CU69" s="370">
        <f t="shared" si="43"/>
        <v>5.2857142857142853E-2</v>
      </c>
      <c r="CV69" s="370">
        <v>4600157.7142857136</v>
      </c>
      <c r="CW69" s="370">
        <v>4350149.13</v>
      </c>
      <c r="CX69" s="372">
        <v>4650159.4285714282</v>
      </c>
      <c r="CY69" s="374">
        <v>0</v>
      </c>
      <c r="CZ69" s="375">
        <f t="shared" si="59"/>
        <v>13600466.272857141</v>
      </c>
      <c r="DA69" s="370">
        <f t="shared" si="44"/>
        <v>0.77714285640818836</v>
      </c>
      <c r="DB69" s="370">
        <v>2975102</v>
      </c>
      <c r="DC69" s="370">
        <v>0</v>
      </c>
      <c r="DD69" s="372">
        <v>0</v>
      </c>
      <c r="DE69" s="374">
        <v>0</v>
      </c>
      <c r="DF69" s="375">
        <f t="shared" si="71"/>
        <v>2975102</v>
      </c>
      <c r="DG69" s="370">
        <f t="shared" si="45"/>
        <v>0.17</v>
      </c>
      <c r="DH69" s="376">
        <f t="shared" si="60"/>
        <v>17500600</v>
      </c>
      <c r="DI69" s="376">
        <f t="shared" si="72"/>
        <v>17500599.987142853</v>
      </c>
      <c r="DJ69" s="370">
        <f t="shared" si="46"/>
        <v>1</v>
      </c>
      <c r="DK69" s="370"/>
      <c r="DL69" s="377">
        <f t="shared" si="61"/>
        <v>17500600</v>
      </c>
      <c r="DM69" s="370">
        <f t="shared" si="62"/>
        <v>17500600</v>
      </c>
      <c r="DN69" s="370">
        <f t="shared" si="63"/>
        <v>0</v>
      </c>
      <c r="DO69" s="370">
        <f t="shared" si="64"/>
        <v>0</v>
      </c>
      <c r="DP69" s="370">
        <f t="shared" si="65"/>
        <v>0</v>
      </c>
      <c r="DQ69" s="378">
        <f t="shared" si="66"/>
        <v>17500599.987142853</v>
      </c>
      <c r="DR69" s="370">
        <f t="shared" si="67"/>
        <v>0</v>
      </c>
      <c r="DS69" s="370">
        <f t="shared" si="68"/>
        <v>925031.7142857142</v>
      </c>
      <c r="DT69" s="370">
        <f t="shared" si="69"/>
        <v>13600466.272857141</v>
      </c>
      <c r="DU69" s="370">
        <f t="shared" si="70"/>
        <v>2975102</v>
      </c>
      <c r="DW69" s="370">
        <v>4350149.1428571427</v>
      </c>
      <c r="DX69" s="372">
        <v>4650159.4285714282</v>
      </c>
      <c r="DY69" s="300">
        <v>0</v>
      </c>
      <c r="DZ69" s="381">
        <f t="shared" si="34"/>
        <v>1575054</v>
      </c>
      <c r="EA69" s="382">
        <f t="shared" si="35"/>
        <v>19075654</v>
      </c>
      <c r="EB69" s="608"/>
    </row>
    <row r="70" spans="1:133" ht="109.5" hidden="1" customHeight="1" thickTop="1" thickBot="1">
      <c r="A70" s="133">
        <v>1</v>
      </c>
      <c r="B70" s="411" t="s">
        <v>6</v>
      </c>
      <c r="C70" s="135" t="s">
        <v>304</v>
      </c>
      <c r="D70" s="135" t="s">
        <v>305</v>
      </c>
      <c r="E70" s="412" t="s">
        <v>114</v>
      </c>
      <c r="F70" s="347" t="s">
        <v>306</v>
      </c>
      <c r="G70" s="412" t="s">
        <v>480</v>
      </c>
      <c r="H70" s="347" t="s">
        <v>482</v>
      </c>
      <c r="I70" s="347" t="s">
        <v>886</v>
      </c>
      <c r="J70" s="32">
        <v>47</v>
      </c>
      <c r="K70" s="419" t="s">
        <v>887</v>
      </c>
      <c r="L70" s="347" t="s">
        <v>888</v>
      </c>
      <c r="M70" s="347" t="s">
        <v>889</v>
      </c>
      <c r="N70" s="349" t="s">
        <v>11</v>
      </c>
      <c r="O70" s="350">
        <v>19</v>
      </c>
      <c r="P70" s="392" t="s">
        <v>19</v>
      </c>
      <c r="Q70" s="76" t="s">
        <v>890</v>
      </c>
      <c r="R70" s="76">
        <v>1905019</v>
      </c>
      <c r="S70" s="47" t="s">
        <v>86</v>
      </c>
      <c r="T70" s="47" t="s">
        <v>494</v>
      </c>
      <c r="U70" s="76">
        <v>190501900</v>
      </c>
      <c r="V70" s="347" t="s">
        <v>7</v>
      </c>
      <c r="W70" s="355" t="s">
        <v>316</v>
      </c>
      <c r="X70" s="355"/>
      <c r="Y70" s="355"/>
      <c r="Z70" s="355"/>
      <c r="AA70" s="355"/>
      <c r="AB70" s="355"/>
      <c r="AC70" s="355"/>
      <c r="AD70" s="355"/>
      <c r="AE70" s="355"/>
      <c r="AF70" s="355"/>
      <c r="AG70" s="355"/>
      <c r="AH70" s="356">
        <f t="shared" si="40"/>
        <v>0</v>
      </c>
      <c r="AI70" s="357" t="s">
        <v>904</v>
      </c>
      <c r="AJ70" s="80"/>
      <c r="AK70" s="80"/>
      <c r="AL70" s="80"/>
      <c r="AM70" s="80"/>
      <c r="AN70" s="80"/>
      <c r="AO70" s="386">
        <v>125</v>
      </c>
      <c r="AP70" s="33">
        <f t="shared" si="47"/>
        <v>125</v>
      </c>
      <c r="AQ70" s="359" t="s">
        <v>316</v>
      </c>
      <c r="AR70" s="25">
        <v>0</v>
      </c>
      <c r="AS70" s="25">
        <v>20</v>
      </c>
      <c r="AT70" s="25">
        <v>65</v>
      </c>
      <c r="AU70" s="25">
        <v>40</v>
      </c>
      <c r="AV70" s="392" t="s">
        <v>739</v>
      </c>
      <c r="AW70" s="392" t="s">
        <v>898</v>
      </c>
      <c r="AX70" s="39" t="s">
        <v>899</v>
      </c>
      <c r="AY70" s="25">
        <v>376</v>
      </c>
      <c r="AZ70" s="39" t="s">
        <v>729</v>
      </c>
      <c r="BA70" s="40" t="s">
        <v>894</v>
      </c>
      <c r="BB70" s="360" t="s">
        <v>730</v>
      </c>
      <c r="BC70" s="361" t="s">
        <v>683</v>
      </c>
      <c r="BD70" s="40" t="s">
        <v>731</v>
      </c>
      <c r="BE70" s="421">
        <v>5980760</v>
      </c>
      <c r="BF70" s="363" t="s">
        <v>771</v>
      </c>
      <c r="BG70" s="364" t="s">
        <v>900</v>
      </c>
      <c r="BH70" s="365" t="s">
        <v>901</v>
      </c>
      <c r="BI70" s="365"/>
      <c r="BJ70" s="26" t="s">
        <v>902</v>
      </c>
      <c r="BK70" s="26" t="s">
        <v>903</v>
      </c>
      <c r="BL70" s="359">
        <v>0</v>
      </c>
      <c r="BM70" s="359">
        <v>0</v>
      </c>
      <c r="BN70" s="359">
        <v>0</v>
      </c>
      <c r="BO70" s="366">
        <f t="shared" si="48"/>
        <v>0</v>
      </c>
      <c r="BP70" s="367">
        <f t="shared" si="49"/>
        <v>0</v>
      </c>
      <c r="BQ70" s="359">
        <v>0</v>
      </c>
      <c r="BR70" s="359">
        <v>30</v>
      </c>
      <c r="BS70" s="359">
        <v>22</v>
      </c>
      <c r="BT70" s="366">
        <f t="shared" si="50"/>
        <v>52</v>
      </c>
      <c r="BU70" s="367">
        <f t="shared" si="51"/>
        <v>0.41599999999999998</v>
      </c>
      <c r="BV70" s="359">
        <v>25</v>
      </c>
      <c r="BW70" s="359">
        <v>16</v>
      </c>
      <c r="BX70" s="359">
        <v>32</v>
      </c>
      <c r="BY70" s="366">
        <f t="shared" si="52"/>
        <v>73</v>
      </c>
      <c r="BZ70" s="367">
        <f t="shared" si="53"/>
        <v>0.58399999999999996</v>
      </c>
      <c r="CA70" s="359">
        <v>0</v>
      </c>
      <c r="CB70" s="359">
        <v>0</v>
      </c>
      <c r="CC70" s="359">
        <v>0</v>
      </c>
      <c r="CD70" s="366">
        <f t="shared" si="54"/>
        <v>0</v>
      </c>
      <c r="CE70" s="367">
        <f t="shared" si="55"/>
        <v>0</v>
      </c>
      <c r="CF70" s="368">
        <f t="shared" si="56"/>
        <v>125</v>
      </c>
      <c r="CG70" s="359">
        <f t="shared" si="41"/>
        <v>1</v>
      </c>
      <c r="CH70" s="369"/>
      <c r="CI70" s="369"/>
      <c r="CJ70" s="370">
        <v>0</v>
      </c>
      <c r="CK70" s="370">
        <v>0</v>
      </c>
      <c r="CL70" s="372">
        <v>0</v>
      </c>
      <c r="CM70" s="447">
        <v>5980760</v>
      </c>
      <c r="CN70" s="374">
        <f t="shared" si="57"/>
        <v>0</v>
      </c>
      <c r="CO70" s="370">
        <f t="shared" si="42"/>
        <v>0</v>
      </c>
      <c r="CP70" s="370">
        <v>0</v>
      </c>
      <c r="CQ70" s="370">
        <v>0</v>
      </c>
      <c r="CR70" s="372">
        <v>1435382.4000000001</v>
      </c>
      <c r="CS70" s="374">
        <v>0</v>
      </c>
      <c r="CT70" s="375">
        <f t="shared" si="58"/>
        <v>1435382.4000000001</v>
      </c>
      <c r="CU70" s="370">
        <f t="shared" si="43"/>
        <v>0.24000000000000002</v>
      </c>
      <c r="CV70" s="370">
        <v>1052613.76</v>
      </c>
      <c r="CW70" s="370">
        <v>1196152</v>
      </c>
      <c r="CX70" s="372">
        <v>765537.28000000003</v>
      </c>
      <c r="CY70" s="374">
        <v>0</v>
      </c>
      <c r="CZ70" s="375">
        <f t="shared" si="59"/>
        <v>3014303.04</v>
      </c>
      <c r="DA70" s="370">
        <f t="shared" si="44"/>
        <v>0.504</v>
      </c>
      <c r="DB70" s="370">
        <v>1531074.5600000001</v>
      </c>
      <c r="DC70" s="370">
        <v>0</v>
      </c>
      <c r="DD70" s="372">
        <v>0</v>
      </c>
      <c r="DE70" s="374">
        <v>0</v>
      </c>
      <c r="DF70" s="375">
        <f t="shared" si="71"/>
        <v>1531074.5600000001</v>
      </c>
      <c r="DG70" s="370">
        <f t="shared" si="45"/>
        <v>0.25600000000000001</v>
      </c>
      <c r="DH70" s="376">
        <f t="shared" si="60"/>
        <v>5980760</v>
      </c>
      <c r="DI70" s="376">
        <f t="shared" si="72"/>
        <v>5980760</v>
      </c>
      <c r="DJ70" s="370">
        <f t="shared" si="46"/>
        <v>1</v>
      </c>
      <c r="DK70" s="370"/>
      <c r="DL70" s="377">
        <f t="shared" si="61"/>
        <v>5980760</v>
      </c>
      <c r="DM70" s="370">
        <f t="shared" si="62"/>
        <v>5980760</v>
      </c>
      <c r="DN70" s="370">
        <f t="shared" si="63"/>
        <v>0</v>
      </c>
      <c r="DO70" s="370">
        <f t="shared" si="64"/>
        <v>0</v>
      </c>
      <c r="DP70" s="370">
        <f t="shared" si="65"/>
        <v>0</v>
      </c>
      <c r="DQ70" s="378">
        <f t="shared" si="66"/>
        <v>5980760</v>
      </c>
      <c r="DR70" s="370">
        <f t="shared" si="67"/>
        <v>0</v>
      </c>
      <c r="DS70" s="370">
        <f t="shared" si="68"/>
        <v>1435382.4000000001</v>
      </c>
      <c r="DT70" s="370">
        <f t="shared" si="69"/>
        <v>3014303.04</v>
      </c>
      <c r="DU70" s="370">
        <f t="shared" si="70"/>
        <v>1531074.5600000001</v>
      </c>
      <c r="DW70" s="370">
        <v>1196152</v>
      </c>
      <c r="DX70" s="372">
        <v>765537.28000000003</v>
      </c>
      <c r="DY70" s="300">
        <v>0</v>
      </c>
      <c r="DZ70" s="381">
        <f t="shared" ref="DZ70:DZ104" si="73">BE70*9%</f>
        <v>538268.4</v>
      </c>
      <c r="EA70" s="382">
        <f t="shared" ref="EA70:EA101" si="74">BE70+DZ70</f>
        <v>6519028.4000000004</v>
      </c>
      <c r="EB70" s="608"/>
    </row>
    <row r="71" spans="1:133" ht="200.25" hidden="1" customHeight="1" thickTop="1" thickBot="1">
      <c r="A71" s="133">
        <v>1</v>
      </c>
      <c r="B71" s="411" t="s">
        <v>6</v>
      </c>
      <c r="C71" s="135" t="s">
        <v>304</v>
      </c>
      <c r="D71" s="135" t="s">
        <v>305</v>
      </c>
      <c r="E71" s="412" t="s">
        <v>114</v>
      </c>
      <c r="F71" s="347" t="s">
        <v>306</v>
      </c>
      <c r="G71" s="412" t="s">
        <v>480</v>
      </c>
      <c r="H71" s="347" t="s">
        <v>482</v>
      </c>
      <c r="I71" s="347" t="s">
        <v>886</v>
      </c>
      <c r="J71" s="32">
        <v>47</v>
      </c>
      <c r="K71" s="419" t="s">
        <v>887</v>
      </c>
      <c r="L71" s="347" t="s">
        <v>888</v>
      </c>
      <c r="M71" s="347" t="s">
        <v>889</v>
      </c>
      <c r="N71" s="349" t="s">
        <v>11</v>
      </c>
      <c r="O71" s="350">
        <v>19</v>
      </c>
      <c r="P71" s="392" t="s">
        <v>19</v>
      </c>
      <c r="Q71" s="76" t="s">
        <v>890</v>
      </c>
      <c r="R71" s="76">
        <v>1905019</v>
      </c>
      <c r="S71" s="47" t="s">
        <v>86</v>
      </c>
      <c r="T71" s="47" t="s">
        <v>494</v>
      </c>
      <c r="U71" s="76">
        <v>190501900</v>
      </c>
      <c r="V71" s="347" t="s">
        <v>7</v>
      </c>
      <c r="W71" s="355" t="s">
        <v>316</v>
      </c>
      <c r="X71" s="355"/>
      <c r="Y71" s="355"/>
      <c r="Z71" s="355"/>
      <c r="AA71" s="355"/>
      <c r="AB71" s="355"/>
      <c r="AC71" s="355"/>
      <c r="AD71" s="355"/>
      <c r="AE71" s="355"/>
      <c r="AF71" s="355"/>
      <c r="AG71" s="355"/>
      <c r="AH71" s="356">
        <f t="shared" si="40"/>
        <v>0</v>
      </c>
      <c r="AI71" s="357" t="s">
        <v>905</v>
      </c>
      <c r="AJ71" s="80"/>
      <c r="AK71" s="80"/>
      <c r="AL71" s="80"/>
      <c r="AM71" s="80"/>
      <c r="AN71" s="80"/>
      <c r="AO71" s="386">
        <v>50</v>
      </c>
      <c r="AP71" s="33">
        <f t="shared" si="47"/>
        <v>100</v>
      </c>
      <c r="AQ71" s="359" t="s">
        <v>707</v>
      </c>
      <c r="AR71" s="25">
        <v>0</v>
      </c>
      <c r="AS71" s="25">
        <v>0</v>
      </c>
      <c r="AT71" s="25">
        <v>60</v>
      </c>
      <c r="AU71" s="25">
        <v>40</v>
      </c>
      <c r="AV71" s="392" t="s">
        <v>739</v>
      </c>
      <c r="AW71" s="392" t="s">
        <v>898</v>
      </c>
      <c r="AX71" s="39" t="s">
        <v>899</v>
      </c>
      <c r="AY71" s="25">
        <v>376</v>
      </c>
      <c r="AZ71" s="39" t="s">
        <v>729</v>
      </c>
      <c r="BA71" s="40" t="s">
        <v>894</v>
      </c>
      <c r="BB71" s="360" t="s">
        <v>730</v>
      </c>
      <c r="BC71" s="361" t="s">
        <v>683</v>
      </c>
      <c r="BD71" s="40" t="s">
        <v>731</v>
      </c>
      <c r="BE71" s="391">
        <v>24380000</v>
      </c>
      <c r="BF71" s="363" t="s">
        <v>771</v>
      </c>
      <c r="BG71" s="364" t="s">
        <v>900</v>
      </c>
      <c r="BH71" s="365" t="s">
        <v>901</v>
      </c>
      <c r="BI71" s="365"/>
      <c r="BJ71" s="26" t="s">
        <v>902</v>
      </c>
      <c r="BK71" s="26" t="s">
        <v>903</v>
      </c>
      <c r="BL71" s="359">
        <v>0</v>
      </c>
      <c r="BM71" s="359">
        <v>0</v>
      </c>
      <c r="BN71" s="359">
        <v>0</v>
      </c>
      <c r="BO71" s="366">
        <f t="shared" si="48"/>
        <v>0</v>
      </c>
      <c r="BP71" s="367">
        <f t="shared" si="49"/>
        <v>0</v>
      </c>
      <c r="BQ71" s="359">
        <v>0</v>
      </c>
      <c r="BR71" s="359">
        <v>0</v>
      </c>
      <c r="BS71" s="359">
        <v>0</v>
      </c>
      <c r="BT71" s="366">
        <f t="shared" si="50"/>
        <v>0</v>
      </c>
      <c r="BU71" s="367">
        <f t="shared" si="51"/>
        <v>0</v>
      </c>
      <c r="BV71" s="432">
        <v>0.33</v>
      </c>
      <c r="BW71" s="432">
        <v>0.33</v>
      </c>
      <c r="BX71" s="359">
        <v>0</v>
      </c>
      <c r="BY71" s="366">
        <f t="shared" si="52"/>
        <v>0.66</v>
      </c>
      <c r="BZ71" s="367">
        <f t="shared" si="53"/>
        <v>6.6E-3</v>
      </c>
      <c r="CA71" s="359">
        <v>0</v>
      </c>
      <c r="CB71" s="359">
        <v>0</v>
      </c>
      <c r="CC71" s="359">
        <v>0</v>
      </c>
      <c r="CD71" s="366">
        <f t="shared" si="54"/>
        <v>0</v>
      </c>
      <c r="CE71" s="367">
        <f t="shared" si="55"/>
        <v>0</v>
      </c>
      <c r="CF71" s="368">
        <f t="shared" si="56"/>
        <v>0.66</v>
      </c>
      <c r="CG71" s="359">
        <f t="shared" si="41"/>
        <v>6.6E-3</v>
      </c>
      <c r="CH71" s="369"/>
      <c r="CI71" s="369"/>
      <c r="CJ71" s="370">
        <v>0</v>
      </c>
      <c r="CK71" s="370">
        <v>0</v>
      </c>
      <c r="CL71" s="372">
        <v>0</v>
      </c>
      <c r="CM71" s="446">
        <v>24380000</v>
      </c>
      <c r="CN71" s="374">
        <f t="shared" si="57"/>
        <v>0</v>
      </c>
      <c r="CO71" s="370">
        <f t="shared" si="42"/>
        <v>0</v>
      </c>
      <c r="CP71" s="370">
        <v>0</v>
      </c>
      <c r="CQ71" s="370">
        <v>0</v>
      </c>
      <c r="CR71" s="372">
        <v>0</v>
      </c>
      <c r="CS71" s="374">
        <v>0</v>
      </c>
      <c r="CT71" s="375">
        <f t="shared" si="58"/>
        <v>0</v>
      </c>
      <c r="CU71" s="370">
        <f t="shared" si="43"/>
        <v>0</v>
      </c>
      <c r="CV71" s="370">
        <v>0</v>
      </c>
      <c r="CW71" s="370">
        <v>8126666</v>
      </c>
      <c r="CX71" s="372">
        <v>8126666</v>
      </c>
      <c r="CY71" s="374">
        <v>0</v>
      </c>
      <c r="CZ71" s="375">
        <f t="shared" si="59"/>
        <v>16253332</v>
      </c>
      <c r="DA71" s="370">
        <f t="shared" si="44"/>
        <v>0.66666661197703037</v>
      </c>
      <c r="DB71" s="370">
        <v>0</v>
      </c>
      <c r="DC71" s="370">
        <f>BE71-16253332</f>
        <v>8126668</v>
      </c>
      <c r="DD71" s="372">
        <v>0</v>
      </c>
      <c r="DE71" s="374">
        <v>0</v>
      </c>
      <c r="DF71" s="375">
        <f t="shared" si="71"/>
        <v>8126668</v>
      </c>
      <c r="DG71" s="370">
        <f t="shared" si="45"/>
        <v>0.33333338802296963</v>
      </c>
      <c r="DH71" s="376">
        <f t="shared" si="60"/>
        <v>24380000</v>
      </c>
      <c r="DI71" s="376">
        <f t="shared" si="72"/>
        <v>24380000</v>
      </c>
      <c r="DJ71" s="370">
        <f t="shared" si="46"/>
        <v>1</v>
      </c>
      <c r="DK71" s="370"/>
      <c r="DL71" s="377">
        <f t="shared" si="61"/>
        <v>24380000</v>
      </c>
      <c r="DM71" s="370">
        <f t="shared" si="62"/>
        <v>24380000</v>
      </c>
      <c r="DN71" s="370">
        <f t="shared" si="63"/>
        <v>0</v>
      </c>
      <c r="DO71" s="370">
        <f t="shared" si="64"/>
        <v>0</v>
      </c>
      <c r="DP71" s="370">
        <f t="shared" si="65"/>
        <v>0</v>
      </c>
      <c r="DQ71" s="378">
        <f t="shared" si="66"/>
        <v>24380000</v>
      </c>
      <c r="DR71" s="370">
        <f t="shared" si="67"/>
        <v>0</v>
      </c>
      <c r="DS71" s="370">
        <f t="shared" si="68"/>
        <v>0</v>
      </c>
      <c r="DT71" s="370">
        <f t="shared" si="69"/>
        <v>16253332</v>
      </c>
      <c r="DU71" s="370">
        <f t="shared" si="70"/>
        <v>8126668</v>
      </c>
      <c r="DW71" s="370">
        <v>8126666</v>
      </c>
      <c r="DX71" s="372">
        <v>8126666</v>
      </c>
      <c r="DY71" s="300">
        <v>0</v>
      </c>
      <c r="DZ71" s="381">
        <f t="shared" si="73"/>
        <v>2194200</v>
      </c>
      <c r="EA71" s="382">
        <f t="shared" si="74"/>
        <v>26574200</v>
      </c>
      <c r="EB71" s="608"/>
    </row>
    <row r="72" spans="1:133" ht="153" hidden="1" customHeight="1" thickTop="1" thickBot="1">
      <c r="A72" s="133">
        <v>1</v>
      </c>
      <c r="B72" s="411" t="s">
        <v>6</v>
      </c>
      <c r="C72" s="135" t="s">
        <v>304</v>
      </c>
      <c r="D72" s="135" t="s">
        <v>305</v>
      </c>
      <c r="E72" s="412" t="s">
        <v>114</v>
      </c>
      <c r="F72" s="347" t="s">
        <v>306</v>
      </c>
      <c r="G72" s="412" t="s">
        <v>480</v>
      </c>
      <c r="H72" s="347" t="s">
        <v>482</v>
      </c>
      <c r="I72" s="347" t="s">
        <v>886</v>
      </c>
      <c r="J72" s="32">
        <v>47</v>
      </c>
      <c r="K72" s="419" t="s">
        <v>887</v>
      </c>
      <c r="L72" s="347" t="s">
        <v>888</v>
      </c>
      <c r="M72" s="347" t="s">
        <v>889</v>
      </c>
      <c r="N72" s="349" t="s">
        <v>11</v>
      </c>
      <c r="O72" s="350">
        <v>19</v>
      </c>
      <c r="P72" s="392" t="s">
        <v>19</v>
      </c>
      <c r="Q72" s="76" t="s">
        <v>890</v>
      </c>
      <c r="R72" s="76">
        <v>1905019</v>
      </c>
      <c r="S72" s="47" t="s">
        <v>86</v>
      </c>
      <c r="T72" s="47" t="s">
        <v>494</v>
      </c>
      <c r="U72" s="76">
        <v>190501900</v>
      </c>
      <c r="V72" s="347" t="s">
        <v>7</v>
      </c>
      <c r="W72" s="355" t="s">
        <v>316</v>
      </c>
      <c r="X72" s="355"/>
      <c r="Y72" s="355"/>
      <c r="Z72" s="355"/>
      <c r="AA72" s="355"/>
      <c r="AB72" s="355"/>
      <c r="AC72" s="355"/>
      <c r="AD72" s="355"/>
      <c r="AE72" s="355"/>
      <c r="AF72" s="355"/>
      <c r="AG72" s="355"/>
      <c r="AH72" s="356">
        <f t="shared" si="40"/>
        <v>0</v>
      </c>
      <c r="AI72" s="357" t="s">
        <v>906</v>
      </c>
      <c r="AJ72" s="80">
        <v>25</v>
      </c>
      <c r="AK72" s="80">
        <v>25</v>
      </c>
      <c r="AL72" s="80">
        <v>25</v>
      </c>
      <c r="AM72" s="80">
        <v>25</v>
      </c>
      <c r="AN72" s="80">
        <v>25</v>
      </c>
      <c r="AO72" s="358">
        <v>25</v>
      </c>
      <c r="AP72" s="33">
        <f t="shared" si="47"/>
        <v>25</v>
      </c>
      <c r="AQ72" s="359" t="s">
        <v>316</v>
      </c>
      <c r="AR72" s="25">
        <v>0</v>
      </c>
      <c r="AS72" s="25">
        <v>0</v>
      </c>
      <c r="AT72" s="25">
        <v>0</v>
      </c>
      <c r="AU72" s="25">
        <v>25</v>
      </c>
      <c r="AV72" s="443" t="s">
        <v>776</v>
      </c>
      <c r="AW72" s="443" t="s">
        <v>769</v>
      </c>
      <c r="AX72" s="39" t="s">
        <v>899</v>
      </c>
      <c r="AY72" s="25">
        <v>376</v>
      </c>
      <c r="AZ72" s="39" t="s">
        <v>729</v>
      </c>
      <c r="BA72" s="40" t="s">
        <v>894</v>
      </c>
      <c r="BB72" s="360" t="s">
        <v>730</v>
      </c>
      <c r="BC72" s="361" t="s">
        <v>683</v>
      </c>
      <c r="BD72" s="40" t="s">
        <v>731</v>
      </c>
      <c r="BE72" s="421">
        <v>10631200</v>
      </c>
      <c r="BF72" s="363" t="s">
        <v>771</v>
      </c>
      <c r="BG72" s="364" t="s">
        <v>900</v>
      </c>
      <c r="BH72" s="365" t="s">
        <v>901</v>
      </c>
      <c r="BI72" s="365"/>
      <c r="BJ72" s="26" t="s">
        <v>902</v>
      </c>
      <c r="BK72" s="26" t="s">
        <v>903</v>
      </c>
      <c r="BL72" s="359">
        <v>0</v>
      </c>
      <c r="BM72" s="359">
        <v>0</v>
      </c>
      <c r="BN72" s="359">
        <v>0</v>
      </c>
      <c r="BO72" s="366">
        <f t="shared" si="48"/>
        <v>0</v>
      </c>
      <c r="BP72" s="367">
        <f t="shared" si="49"/>
        <v>0</v>
      </c>
      <c r="BQ72" s="359">
        <v>0</v>
      </c>
      <c r="BR72" s="359">
        <v>0</v>
      </c>
      <c r="BS72" s="359">
        <v>0</v>
      </c>
      <c r="BT72" s="366">
        <f t="shared" si="50"/>
        <v>0</v>
      </c>
      <c r="BU72" s="367">
        <f t="shared" si="51"/>
        <v>0</v>
      </c>
      <c r="BV72" s="414">
        <v>6</v>
      </c>
      <c r="BW72" s="414">
        <v>6</v>
      </c>
      <c r="BX72" s="414">
        <v>6</v>
      </c>
      <c r="BY72" s="366">
        <f t="shared" si="52"/>
        <v>18</v>
      </c>
      <c r="BZ72" s="367">
        <f t="shared" si="53"/>
        <v>0.72</v>
      </c>
      <c r="CA72" s="359">
        <v>0</v>
      </c>
      <c r="CB72" s="359">
        <v>0</v>
      </c>
      <c r="CC72" s="359">
        <v>0</v>
      </c>
      <c r="CD72" s="366">
        <f t="shared" si="54"/>
        <v>0</v>
      </c>
      <c r="CE72" s="367">
        <f t="shared" si="55"/>
        <v>0</v>
      </c>
      <c r="CF72" s="368">
        <f t="shared" si="56"/>
        <v>18</v>
      </c>
      <c r="CG72" s="359">
        <f t="shared" si="41"/>
        <v>0.72</v>
      </c>
      <c r="CH72" s="369"/>
      <c r="CI72" s="369"/>
      <c r="CJ72" s="370">
        <v>0</v>
      </c>
      <c r="CK72" s="370">
        <v>0</v>
      </c>
      <c r="CL72" s="372">
        <v>0</v>
      </c>
      <c r="CM72" s="447">
        <v>10631200</v>
      </c>
      <c r="CN72" s="374">
        <f t="shared" si="57"/>
        <v>0</v>
      </c>
      <c r="CO72" s="370">
        <f t="shared" si="42"/>
        <v>0</v>
      </c>
      <c r="CP72" s="370">
        <v>0</v>
      </c>
      <c r="CQ72" s="370">
        <v>0</v>
      </c>
      <c r="CR72" s="372">
        <v>0</v>
      </c>
      <c r="CS72" s="374">
        <v>0</v>
      </c>
      <c r="CT72" s="375">
        <f t="shared" si="58"/>
        <v>0</v>
      </c>
      <c r="CU72" s="370">
        <f t="shared" si="43"/>
        <v>0</v>
      </c>
      <c r="CV72" s="370">
        <v>0</v>
      </c>
      <c r="CW72" s="370">
        <v>2000000</v>
      </c>
      <c r="CX72" s="372">
        <v>2000000</v>
      </c>
      <c r="CY72" s="374">
        <v>0</v>
      </c>
      <c r="CZ72" s="375">
        <f t="shared" si="59"/>
        <v>4000000</v>
      </c>
      <c r="DA72" s="370">
        <f t="shared" si="44"/>
        <v>0.37625103469034538</v>
      </c>
      <c r="DB72" s="370">
        <v>2000000</v>
      </c>
      <c r="DC72" s="370">
        <v>4631200</v>
      </c>
      <c r="DD72" s="372">
        <v>0</v>
      </c>
      <c r="DE72" s="374">
        <v>0</v>
      </c>
      <c r="DF72" s="375">
        <f t="shared" si="71"/>
        <v>6631200</v>
      </c>
      <c r="DG72" s="370">
        <f t="shared" si="45"/>
        <v>0.62374896530965462</v>
      </c>
      <c r="DH72" s="376">
        <f t="shared" si="60"/>
        <v>10631200</v>
      </c>
      <c r="DI72" s="376">
        <f t="shared" si="72"/>
        <v>10631200</v>
      </c>
      <c r="DJ72" s="370">
        <f t="shared" si="46"/>
        <v>1</v>
      </c>
      <c r="DK72" s="370"/>
      <c r="DL72" s="377">
        <f t="shared" si="61"/>
        <v>10631200</v>
      </c>
      <c r="DM72" s="370">
        <f t="shared" si="62"/>
        <v>10631200</v>
      </c>
      <c r="DN72" s="370">
        <f t="shared" si="63"/>
        <v>0</v>
      </c>
      <c r="DO72" s="370">
        <f t="shared" si="64"/>
        <v>0</v>
      </c>
      <c r="DP72" s="370">
        <f t="shared" si="65"/>
        <v>0</v>
      </c>
      <c r="DQ72" s="378">
        <f t="shared" si="66"/>
        <v>10631200</v>
      </c>
      <c r="DR72" s="370">
        <f t="shared" si="67"/>
        <v>0</v>
      </c>
      <c r="DS72" s="370">
        <f t="shared" si="68"/>
        <v>0</v>
      </c>
      <c r="DT72" s="370">
        <f t="shared" si="69"/>
        <v>4000000</v>
      </c>
      <c r="DU72" s="370">
        <f t="shared" si="70"/>
        <v>6631200</v>
      </c>
      <c r="DW72" s="370">
        <v>2000000</v>
      </c>
      <c r="DX72" s="372">
        <v>2000000</v>
      </c>
      <c r="DY72" s="300">
        <v>0</v>
      </c>
      <c r="DZ72" s="381">
        <f t="shared" si="73"/>
        <v>956808</v>
      </c>
      <c r="EA72" s="382">
        <f t="shared" si="74"/>
        <v>11588008</v>
      </c>
      <c r="EB72" s="608"/>
    </row>
    <row r="73" spans="1:133" ht="132.75" hidden="1" customHeight="1" thickTop="1" thickBot="1">
      <c r="A73" s="133">
        <v>1</v>
      </c>
      <c r="B73" s="411" t="s">
        <v>6</v>
      </c>
      <c r="C73" s="135" t="s">
        <v>304</v>
      </c>
      <c r="D73" s="135" t="s">
        <v>305</v>
      </c>
      <c r="E73" s="412" t="s">
        <v>114</v>
      </c>
      <c r="F73" s="347" t="s">
        <v>306</v>
      </c>
      <c r="G73" s="412" t="s">
        <v>480</v>
      </c>
      <c r="H73" s="347" t="s">
        <v>482</v>
      </c>
      <c r="I73" s="347" t="s">
        <v>886</v>
      </c>
      <c r="J73" s="32">
        <v>47</v>
      </c>
      <c r="K73" s="419" t="s">
        <v>887</v>
      </c>
      <c r="L73" s="347" t="s">
        <v>888</v>
      </c>
      <c r="M73" s="347" t="s">
        <v>889</v>
      </c>
      <c r="N73" s="349" t="s">
        <v>11</v>
      </c>
      <c r="O73" s="350">
        <v>19</v>
      </c>
      <c r="P73" s="392" t="s">
        <v>19</v>
      </c>
      <c r="Q73" s="76" t="s">
        <v>890</v>
      </c>
      <c r="R73" s="76">
        <v>1905019</v>
      </c>
      <c r="S73" s="47" t="s">
        <v>86</v>
      </c>
      <c r="T73" s="47" t="s">
        <v>494</v>
      </c>
      <c r="U73" s="76">
        <v>190501900</v>
      </c>
      <c r="V73" s="347" t="s">
        <v>7</v>
      </c>
      <c r="W73" s="355" t="s">
        <v>316</v>
      </c>
      <c r="X73" s="355"/>
      <c r="Y73" s="355"/>
      <c r="Z73" s="355"/>
      <c r="AA73" s="355"/>
      <c r="AB73" s="355"/>
      <c r="AC73" s="355"/>
      <c r="AD73" s="355"/>
      <c r="AE73" s="355"/>
      <c r="AF73" s="355"/>
      <c r="AG73" s="355"/>
      <c r="AH73" s="356">
        <f t="shared" si="40"/>
        <v>0</v>
      </c>
      <c r="AI73" s="357" t="s">
        <v>907</v>
      </c>
      <c r="AJ73" s="80"/>
      <c r="AK73" s="80"/>
      <c r="AL73" s="80"/>
      <c r="AM73" s="80"/>
      <c r="AN73" s="80"/>
      <c r="AO73" s="386">
        <v>100</v>
      </c>
      <c r="AP73" s="33">
        <f t="shared" si="47"/>
        <v>100</v>
      </c>
      <c r="AQ73" s="359" t="s">
        <v>707</v>
      </c>
      <c r="AR73" s="25">
        <v>0</v>
      </c>
      <c r="AS73" s="25">
        <v>35</v>
      </c>
      <c r="AT73" s="25">
        <v>45</v>
      </c>
      <c r="AU73" s="25">
        <v>20</v>
      </c>
      <c r="AV73" s="392" t="s">
        <v>739</v>
      </c>
      <c r="AW73" s="392" t="s">
        <v>740</v>
      </c>
      <c r="AX73" s="39" t="s">
        <v>908</v>
      </c>
      <c r="AY73" s="25">
        <v>377</v>
      </c>
      <c r="AZ73" s="39" t="s">
        <v>729</v>
      </c>
      <c r="BA73" s="40" t="s">
        <v>894</v>
      </c>
      <c r="BB73" s="360" t="s">
        <v>730</v>
      </c>
      <c r="BC73" s="361" t="s">
        <v>683</v>
      </c>
      <c r="BD73" s="40" t="s">
        <v>731</v>
      </c>
      <c r="BE73" s="391">
        <v>9342840</v>
      </c>
      <c r="BF73" s="363" t="s">
        <v>771</v>
      </c>
      <c r="BG73" s="364" t="s">
        <v>909</v>
      </c>
      <c r="BH73" s="365" t="s">
        <v>910</v>
      </c>
      <c r="BI73" s="365"/>
      <c r="BJ73" s="26" t="s">
        <v>911</v>
      </c>
      <c r="BK73" s="26" t="s">
        <v>912</v>
      </c>
      <c r="BL73" s="359">
        <v>0</v>
      </c>
      <c r="BM73" s="359">
        <v>0</v>
      </c>
      <c r="BN73" s="359">
        <v>0</v>
      </c>
      <c r="BO73" s="366">
        <f t="shared" si="48"/>
        <v>0</v>
      </c>
      <c r="BP73" s="367">
        <f t="shared" si="49"/>
        <v>0</v>
      </c>
      <c r="BQ73" s="359">
        <v>0</v>
      </c>
      <c r="BR73" s="359">
        <v>0</v>
      </c>
      <c r="BS73" s="359">
        <v>0</v>
      </c>
      <c r="BT73" s="366">
        <f t="shared" si="50"/>
        <v>0</v>
      </c>
      <c r="BU73" s="367">
        <f t="shared" si="51"/>
        <v>0</v>
      </c>
      <c r="BV73" s="414">
        <v>30</v>
      </c>
      <c r="BW73" s="414">
        <v>20</v>
      </c>
      <c r="BX73" s="414">
        <v>50</v>
      </c>
      <c r="BY73" s="366">
        <f t="shared" si="52"/>
        <v>100</v>
      </c>
      <c r="BZ73" s="367">
        <f t="shared" si="53"/>
        <v>1</v>
      </c>
      <c r="CA73" s="359">
        <v>0</v>
      </c>
      <c r="CB73" s="359">
        <v>0</v>
      </c>
      <c r="CC73" s="359">
        <v>0</v>
      </c>
      <c r="CD73" s="366">
        <f t="shared" si="54"/>
        <v>0</v>
      </c>
      <c r="CE73" s="367">
        <f t="shared" si="55"/>
        <v>0</v>
      </c>
      <c r="CF73" s="368">
        <f t="shared" si="56"/>
        <v>100</v>
      </c>
      <c r="CG73" s="359">
        <f t="shared" si="41"/>
        <v>1</v>
      </c>
      <c r="CH73" s="369"/>
      <c r="CI73" s="369"/>
      <c r="CJ73" s="370">
        <v>0</v>
      </c>
      <c r="CK73" s="370">
        <v>0</v>
      </c>
      <c r="CL73" s="372">
        <v>0</v>
      </c>
      <c r="CM73" s="446">
        <v>9342840</v>
      </c>
      <c r="CN73" s="374">
        <f t="shared" si="57"/>
        <v>0</v>
      </c>
      <c r="CO73" s="370">
        <f t="shared" si="42"/>
        <v>0</v>
      </c>
      <c r="CP73" s="370">
        <v>0</v>
      </c>
      <c r="CQ73" s="370">
        <v>0</v>
      </c>
      <c r="CR73" s="372">
        <v>0</v>
      </c>
      <c r="CS73" s="374">
        <v>0</v>
      </c>
      <c r="CT73" s="375">
        <f t="shared" si="58"/>
        <v>0</v>
      </c>
      <c r="CU73" s="370">
        <f t="shared" si="43"/>
        <v>0</v>
      </c>
      <c r="CV73" s="370">
        <v>0</v>
      </c>
      <c r="CW73" s="370">
        <v>2802852</v>
      </c>
      <c r="CX73" s="372">
        <v>1868569</v>
      </c>
      <c r="CY73" s="374">
        <v>0</v>
      </c>
      <c r="CZ73" s="375">
        <f t="shared" si="59"/>
        <v>4671421</v>
      </c>
      <c r="DA73" s="370">
        <f t="shared" si="44"/>
        <v>0.50000010703383557</v>
      </c>
      <c r="DB73" s="370">
        <v>4671419</v>
      </c>
      <c r="DC73" s="370">
        <v>0</v>
      </c>
      <c r="DD73" s="372">
        <v>0</v>
      </c>
      <c r="DE73" s="374">
        <v>0</v>
      </c>
      <c r="DF73" s="375">
        <f t="shared" si="71"/>
        <v>4671419</v>
      </c>
      <c r="DG73" s="370">
        <f t="shared" si="45"/>
        <v>0.49999989296616448</v>
      </c>
      <c r="DH73" s="376">
        <f t="shared" si="60"/>
        <v>9342840</v>
      </c>
      <c r="DI73" s="376">
        <f t="shared" si="72"/>
        <v>9342840</v>
      </c>
      <c r="DJ73" s="370">
        <f t="shared" si="46"/>
        <v>1</v>
      </c>
      <c r="DK73" s="370"/>
      <c r="DL73" s="377">
        <f t="shared" si="61"/>
        <v>9342840</v>
      </c>
      <c r="DM73" s="370">
        <f t="shared" si="62"/>
        <v>9342840</v>
      </c>
      <c r="DN73" s="370">
        <f t="shared" si="63"/>
        <v>0</v>
      </c>
      <c r="DO73" s="370">
        <f t="shared" si="64"/>
        <v>0</v>
      </c>
      <c r="DP73" s="370">
        <f t="shared" si="65"/>
        <v>0</v>
      </c>
      <c r="DQ73" s="378">
        <f t="shared" si="66"/>
        <v>9342840</v>
      </c>
      <c r="DR73" s="370">
        <f t="shared" si="67"/>
        <v>0</v>
      </c>
      <c r="DS73" s="370">
        <f t="shared" si="68"/>
        <v>0</v>
      </c>
      <c r="DT73" s="370">
        <f t="shared" si="69"/>
        <v>4671421</v>
      </c>
      <c r="DU73" s="370">
        <f t="shared" si="70"/>
        <v>4671419</v>
      </c>
      <c r="DW73" s="370">
        <v>2802852</v>
      </c>
      <c r="DX73" s="372">
        <v>1868569</v>
      </c>
      <c r="DY73" s="300">
        <v>0</v>
      </c>
      <c r="DZ73" s="381">
        <f t="shared" si="73"/>
        <v>840855.6</v>
      </c>
      <c r="EA73" s="382">
        <f t="shared" si="74"/>
        <v>10183695.6</v>
      </c>
      <c r="EB73" s="608"/>
    </row>
    <row r="74" spans="1:133" ht="132" hidden="1" customHeight="1" thickTop="1" thickBot="1">
      <c r="A74" s="133">
        <v>1</v>
      </c>
      <c r="B74" s="411" t="s">
        <v>6</v>
      </c>
      <c r="C74" s="135" t="s">
        <v>304</v>
      </c>
      <c r="D74" s="135" t="s">
        <v>305</v>
      </c>
      <c r="E74" s="412" t="s">
        <v>114</v>
      </c>
      <c r="F74" s="347" t="s">
        <v>306</v>
      </c>
      <c r="G74" s="412" t="s">
        <v>495</v>
      </c>
      <c r="H74" s="347" t="s">
        <v>498</v>
      </c>
      <c r="I74" s="347" t="s">
        <v>913</v>
      </c>
      <c r="J74" s="32">
        <v>48</v>
      </c>
      <c r="K74" s="348" t="s">
        <v>914</v>
      </c>
      <c r="L74" s="40" t="s">
        <v>915</v>
      </c>
      <c r="M74" s="40" t="s">
        <v>677</v>
      </c>
      <c r="N74" s="349" t="s">
        <v>11</v>
      </c>
      <c r="O74" s="350">
        <v>19</v>
      </c>
      <c r="P74" s="39" t="s">
        <v>23</v>
      </c>
      <c r="Q74" s="32">
        <v>1903</v>
      </c>
      <c r="R74" s="351">
        <v>1903025</v>
      </c>
      <c r="S74" s="352" t="s">
        <v>27</v>
      </c>
      <c r="T74" s="383" t="s">
        <v>502</v>
      </c>
      <c r="U74" s="351">
        <v>190302500</v>
      </c>
      <c r="V74" s="448" t="s">
        <v>28</v>
      </c>
      <c r="W74" s="417" t="s">
        <v>316</v>
      </c>
      <c r="X74" s="417"/>
      <c r="Y74" s="417"/>
      <c r="Z74" s="417"/>
      <c r="AA74" s="417"/>
      <c r="AB74" s="417"/>
      <c r="AC74" s="449">
        <f>BE74</f>
        <v>35000000</v>
      </c>
      <c r="AD74" s="417"/>
      <c r="AE74" s="417"/>
      <c r="AF74" s="417"/>
      <c r="AG74" s="417"/>
      <c r="AH74" s="356">
        <f t="shared" si="40"/>
        <v>35000000</v>
      </c>
      <c r="AI74" s="357" t="s">
        <v>139</v>
      </c>
      <c r="AJ74" s="80">
        <v>1</v>
      </c>
      <c r="AK74" s="80">
        <v>1</v>
      </c>
      <c r="AL74" s="80">
        <v>1</v>
      </c>
      <c r="AM74" s="80">
        <v>1</v>
      </c>
      <c r="AN74" s="80">
        <v>1</v>
      </c>
      <c r="AO74" s="358">
        <v>1</v>
      </c>
      <c r="AP74" s="33">
        <f>AR74+AS74+AT74+AU74</f>
        <v>100</v>
      </c>
      <c r="AQ74" s="359" t="s">
        <v>707</v>
      </c>
      <c r="AR74" s="25">
        <v>0</v>
      </c>
      <c r="AS74" s="25">
        <v>0</v>
      </c>
      <c r="AT74" s="25">
        <v>50</v>
      </c>
      <c r="AU74" s="25">
        <v>50</v>
      </c>
      <c r="AV74" s="39" t="s">
        <v>678</v>
      </c>
      <c r="AW74" s="39" t="s">
        <v>916</v>
      </c>
      <c r="AX74" s="39" t="s">
        <v>917</v>
      </c>
      <c r="AY74" s="25">
        <v>620</v>
      </c>
      <c r="AZ74" s="39" t="s">
        <v>762</v>
      </c>
      <c r="BA74" s="40" t="s">
        <v>27</v>
      </c>
      <c r="BB74" s="360" t="s">
        <v>730</v>
      </c>
      <c r="BC74" s="361" t="s">
        <v>683</v>
      </c>
      <c r="BD74" s="40" t="s">
        <v>731</v>
      </c>
      <c r="BE74" s="391">
        <v>35000000</v>
      </c>
      <c r="BF74" s="393" t="s">
        <v>918</v>
      </c>
      <c r="BG74" s="364" t="s">
        <v>919</v>
      </c>
      <c r="BH74" s="365" t="s">
        <v>920</v>
      </c>
      <c r="BI74" s="365"/>
      <c r="BJ74" s="26" t="s">
        <v>765</v>
      </c>
      <c r="BK74" s="26" t="s">
        <v>766</v>
      </c>
      <c r="BL74" s="359">
        <v>0</v>
      </c>
      <c r="BM74" s="359">
        <v>0</v>
      </c>
      <c r="BN74" s="359">
        <v>0</v>
      </c>
      <c r="BO74" s="366">
        <f t="shared" si="48"/>
        <v>0</v>
      </c>
      <c r="BP74" s="367">
        <f t="shared" si="49"/>
        <v>0</v>
      </c>
      <c r="BQ74" s="359">
        <v>0</v>
      </c>
      <c r="BR74" s="359">
        <v>0</v>
      </c>
      <c r="BS74" s="359">
        <v>0</v>
      </c>
      <c r="BT74" s="366">
        <f t="shared" si="50"/>
        <v>0</v>
      </c>
      <c r="BU74" s="367">
        <f t="shared" si="51"/>
        <v>0</v>
      </c>
      <c r="BV74" s="359">
        <v>0</v>
      </c>
      <c r="BW74" s="359">
        <v>0</v>
      </c>
      <c r="BX74" s="359">
        <v>0</v>
      </c>
      <c r="BY74" s="366">
        <f t="shared" si="52"/>
        <v>0</v>
      </c>
      <c r="BZ74" s="367">
        <f t="shared" si="53"/>
        <v>0</v>
      </c>
      <c r="CA74" s="359">
        <v>0</v>
      </c>
      <c r="CB74" s="359">
        <v>0</v>
      </c>
      <c r="CC74" s="359">
        <v>0</v>
      </c>
      <c r="CD74" s="366">
        <f t="shared" si="54"/>
        <v>0</v>
      </c>
      <c r="CE74" s="367">
        <f t="shared" si="55"/>
        <v>0</v>
      </c>
      <c r="CF74" s="368">
        <f t="shared" si="56"/>
        <v>0</v>
      </c>
      <c r="CG74" s="359">
        <f t="shared" si="41"/>
        <v>0</v>
      </c>
      <c r="CH74" s="369"/>
      <c r="CI74" s="369"/>
      <c r="CJ74" s="370">
        <v>0</v>
      </c>
      <c r="CK74" s="370">
        <v>0</v>
      </c>
      <c r="CL74" s="372">
        <v>0</v>
      </c>
      <c r="CM74" s="374">
        <v>0</v>
      </c>
      <c r="CN74" s="374">
        <f t="shared" si="57"/>
        <v>0</v>
      </c>
      <c r="CO74" s="370">
        <f t="shared" si="42"/>
        <v>0</v>
      </c>
      <c r="CP74" s="370">
        <v>0</v>
      </c>
      <c r="CQ74" s="370">
        <v>0</v>
      </c>
      <c r="CR74" s="372">
        <v>0</v>
      </c>
      <c r="CS74" s="374">
        <v>0</v>
      </c>
      <c r="CT74" s="375">
        <f t="shared" si="58"/>
        <v>0</v>
      </c>
      <c r="CU74" s="370">
        <f t="shared" si="43"/>
        <v>0</v>
      </c>
      <c r="CV74" s="370">
        <v>0</v>
      </c>
      <c r="CW74" s="370">
        <v>0</v>
      </c>
      <c r="CX74" s="372">
        <v>7000000</v>
      </c>
      <c r="CY74" s="374">
        <v>35000000</v>
      </c>
      <c r="CZ74" s="375">
        <f t="shared" si="59"/>
        <v>7000000</v>
      </c>
      <c r="DA74" s="370">
        <f t="shared" si="44"/>
        <v>0.2</v>
      </c>
      <c r="DB74" s="370">
        <v>0</v>
      </c>
      <c r="DC74" s="372">
        <v>7000000</v>
      </c>
      <c r="DD74" s="372">
        <v>0</v>
      </c>
      <c r="DE74" s="374">
        <v>0</v>
      </c>
      <c r="DF74" s="375">
        <f t="shared" si="71"/>
        <v>7000000</v>
      </c>
      <c r="DG74" s="370">
        <f t="shared" si="45"/>
        <v>0.2</v>
      </c>
      <c r="DH74" s="376">
        <f t="shared" si="60"/>
        <v>35000000</v>
      </c>
      <c r="DI74" s="376">
        <f t="shared" si="72"/>
        <v>14000000</v>
      </c>
      <c r="DJ74" s="370">
        <f t="shared" si="46"/>
        <v>1</v>
      </c>
      <c r="DK74" s="370"/>
      <c r="DL74" s="377">
        <f t="shared" si="61"/>
        <v>35000000</v>
      </c>
      <c r="DM74" s="370">
        <f t="shared" si="62"/>
        <v>0</v>
      </c>
      <c r="DN74" s="370">
        <f t="shared" si="63"/>
        <v>0</v>
      </c>
      <c r="DO74" s="370">
        <f t="shared" si="64"/>
        <v>35000000</v>
      </c>
      <c r="DP74" s="370">
        <f t="shared" si="65"/>
        <v>0</v>
      </c>
      <c r="DQ74" s="378">
        <f t="shared" si="66"/>
        <v>14000000</v>
      </c>
      <c r="DR74" s="370">
        <f t="shared" si="67"/>
        <v>0</v>
      </c>
      <c r="DS74" s="370">
        <f t="shared" si="68"/>
        <v>0</v>
      </c>
      <c r="DT74" s="370">
        <f t="shared" si="69"/>
        <v>7000000</v>
      </c>
      <c r="DU74" s="370">
        <f t="shared" si="70"/>
        <v>7000000</v>
      </c>
      <c r="DW74" s="300">
        <v>0</v>
      </c>
      <c r="DX74" s="300">
        <v>0</v>
      </c>
      <c r="DY74" s="300">
        <v>0</v>
      </c>
      <c r="DZ74" s="381">
        <f t="shared" si="73"/>
        <v>3150000</v>
      </c>
      <c r="EA74" s="382">
        <f t="shared" si="74"/>
        <v>38150000</v>
      </c>
      <c r="EB74" s="608"/>
    </row>
    <row r="75" spans="1:133" ht="132" hidden="1" customHeight="1" thickTop="1" thickBot="1">
      <c r="A75" s="133">
        <v>1</v>
      </c>
      <c r="B75" s="411" t="s">
        <v>6</v>
      </c>
      <c r="C75" s="135" t="s">
        <v>304</v>
      </c>
      <c r="D75" s="135" t="s">
        <v>305</v>
      </c>
      <c r="E75" s="412" t="s">
        <v>114</v>
      </c>
      <c r="F75" s="347" t="s">
        <v>306</v>
      </c>
      <c r="G75" s="412" t="s">
        <v>495</v>
      </c>
      <c r="H75" s="347" t="s">
        <v>498</v>
      </c>
      <c r="I75" s="347" t="s">
        <v>913</v>
      </c>
      <c r="J75" s="32">
        <v>48</v>
      </c>
      <c r="K75" s="348" t="s">
        <v>914</v>
      </c>
      <c r="L75" s="40" t="s">
        <v>915</v>
      </c>
      <c r="M75" s="40" t="s">
        <v>677</v>
      </c>
      <c r="N75" s="349" t="s">
        <v>11</v>
      </c>
      <c r="O75" s="350">
        <v>19</v>
      </c>
      <c r="P75" s="39" t="s">
        <v>23</v>
      </c>
      <c r="Q75" s="32">
        <v>1903</v>
      </c>
      <c r="R75" s="351">
        <v>1903025</v>
      </c>
      <c r="S75" s="352" t="s">
        <v>27</v>
      </c>
      <c r="T75" s="383" t="s">
        <v>502</v>
      </c>
      <c r="U75" s="351">
        <v>190302500</v>
      </c>
      <c r="V75" s="448" t="s">
        <v>28</v>
      </c>
      <c r="W75" s="417" t="s">
        <v>316</v>
      </c>
      <c r="X75" s="417"/>
      <c r="Y75" s="417"/>
      <c r="Z75" s="417"/>
      <c r="AA75" s="417"/>
      <c r="AB75" s="417"/>
      <c r="AC75" s="449">
        <f>BE75</f>
        <v>42400000</v>
      </c>
      <c r="AD75" s="417"/>
      <c r="AE75" s="417"/>
      <c r="AF75" s="417"/>
      <c r="AG75" s="417"/>
      <c r="AH75" s="356">
        <f>SUM(X75:AG75)</f>
        <v>42400000</v>
      </c>
      <c r="AI75" s="357" t="s">
        <v>140</v>
      </c>
      <c r="AJ75" s="80">
        <v>1</v>
      </c>
      <c r="AK75" s="80">
        <v>1</v>
      </c>
      <c r="AL75" s="80">
        <v>1</v>
      </c>
      <c r="AM75" s="80">
        <v>1</v>
      </c>
      <c r="AN75" s="80">
        <v>1</v>
      </c>
      <c r="AO75" s="358">
        <v>1</v>
      </c>
      <c r="AP75" s="33">
        <f>AR75+AS75+AT75+AU75</f>
        <v>100</v>
      </c>
      <c r="AQ75" s="359" t="s">
        <v>707</v>
      </c>
      <c r="AR75" s="25">
        <v>0</v>
      </c>
      <c r="AS75" s="25">
        <v>0</v>
      </c>
      <c r="AT75" s="25">
        <v>50</v>
      </c>
      <c r="AU75" s="25">
        <v>50</v>
      </c>
      <c r="AV75" s="39" t="s">
        <v>678</v>
      </c>
      <c r="AW75" s="39" t="s">
        <v>916</v>
      </c>
      <c r="AX75" s="39" t="s">
        <v>917</v>
      </c>
      <c r="AY75" s="25">
        <v>369</v>
      </c>
      <c r="AZ75" s="39" t="s">
        <v>762</v>
      </c>
      <c r="BA75" s="40" t="s">
        <v>27</v>
      </c>
      <c r="BB75" s="360" t="s">
        <v>709</v>
      </c>
      <c r="BC75" s="361" t="s">
        <v>710</v>
      </c>
      <c r="BD75" s="40" t="s">
        <v>698</v>
      </c>
      <c r="BE75" s="391">
        <v>42400000</v>
      </c>
      <c r="BF75" s="393" t="s">
        <v>921</v>
      </c>
      <c r="BG75" s="364" t="s">
        <v>919</v>
      </c>
      <c r="BH75" s="365" t="s">
        <v>920</v>
      </c>
      <c r="BI75" s="365"/>
      <c r="BJ75" s="26" t="s">
        <v>765</v>
      </c>
      <c r="BK75" s="26" t="s">
        <v>766</v>
      </c>
      <c r="BL75" s="359">
        <v>0</v>
      </c>
      <c r="BM75" s="359">
        <v>0</v>
      </c>
      <c r="BN75" s="359">
        <v>0</v>
      </c>
      <c r="BO75" s="366">
        <f>SUM(BL75:BN75)</f>
        <v>0</v>
      </c>
      <c r="BP75" s="367">
        <f>BO75/AP75</f>
        <v>0</v>
      </c>
      <c r="BQ75" s="359">
        <v>0</v>
      </c>
      <c r="BR75" s="359">
        <v>0</v>
      </c>
      <c r="BS75" s="359">
        <v>0</v>
      </c>
      <c r="BT75" s="366">
        <f>SUM(BQ75:BS75)</f>
        <v>0</v>
      </c>
      <c r="BU75" s="367">
        <f>BT75/AP75</f>
        <v>0</v>
      </c>
      <c r="BV75" s="359">
        <v>0</v>
      </c>
      <c r="BW75" s="359">
        <v>0</v>
      </c>
      <c r="BX75" s="359">
        <v>0</v>
      </c>
      <c r="BY75" s="366">
        <f>SUM(BV75:BX75)</f>
        <v>0</v>
      </c>
      <c r="BZ75" s="367">
        <f>BY75/AP75</f>
        <v>0</v>
      </c>
      <c r="CA75" s="359">
        <v>0</v>
      </c>
      <c r="CB75" s="359">
        <v>0</v>
      </c>
      <c r="CC75" s="359">
        <v>0</v>
      </c>
      <c r="CD75" s="366">
        <f>SUM(CA75:CC75)</f>
        <v>0</v>
      </c>
      <c r="CE75" s="367">
        <f>CD75/AU75</f>
        <v>0</v>
      </c>
      <c r="CF75" s="368">
        <f>BO75+BT75+BY75+CD75</f>
        <v>0</v>
      </c>
      <c r="CG75" s="359">
        <f>CF75/AP75</f>
        <v>0</v>
      </c>
      <c r="CH75" s="369"/>
      <c r="CI75" s="369"/>
      <c r="CJ75" s="370">
        <v>0</v>
      </c>
      <c r="CK75" s="370">
        <v>0</v>
      </c>
      <c r="CL75" s="372">
        <v>0</v>
      </c>
      <c r="CM75" s="374">
        <v>0</v>
      </c>
      <c r="CN75" s="374">
        <f>SUM(CJ75:CL75)</f>
        <v>0</v>
      </c>
      <c r="CO75" s="370">
        <f>CN75/BE75</f>
        <v>0</v>
      </c>
      <c r="CP75" s="370">
        <v>0</v>
      </c>
      <c r="CQ75" s="370">
        <v>0</v>
      </c>
      <c r="CR75" s="372">
        <v>0</v>
      </c>
      <c r="CS75" s="374">
        <v>0</v>
      </c>
      <c r="CT75" s="375">
        <f>SUM(CP75:CR75)</f>
        <v>0</v>
      </c>
      <c r="CU75" s="370">
        <f>CT75/BE75</f>
        <v>0</v>
      </c>
      <c r="CV75" s="370">
        <v>0</v>
      </c>
      <c r="CW75" s="370">
        <v>0</v>
      </c>
      <c r="CX75" s="372">
        <v>0</v>
      </c>
      <c r="CY75" s="374">
        <v>0</v>
      </c>
      <c r="CZ75" s="375">
        <f>SUM(CV75:CX75)</f>
        <v>0</v>
      </c>
      <c r="DA75" s="370">
        <f>CZ75/BE75</f>
        <v>0</v>
      </c>
      <c r="DB75" s="370">
        <v>0</v>
      </c>
      <c r="DC75" s="370">
        <v>0</v>
      </c>
      <c r="DD75" s="372">
        <v>0</v>
      </c>
      <c r="DE75" s="374">
        <v>21200000</v>
      </c>
      <c r="DF75" s="375">
        <f t="shared" si="71"/>
        <v>0</v>
      </c>
      <c r="DG75" s="370">
        <f>DF75/BE75</f>
        <v>0</v>
      </c>
      <c r="DH75" s="376">
        <f t="shared" si="60"/>
        <v>21200000</v>
      </c>
      <c r="DI75" s="376">
        <f t="shared" si="72"/>
        <v>0</v>
      </c>
      <c r="DJ75" s="370">
        <f>DH75/BE75</f>
        <v>0.5</v>
      </c>
      <c r="DK75" s="370"/>
      <c r="DL75" s="377">
        <f t="shared" si="61"/>
        <v>21200000</v>
      </c>
      <c r="DM75" s="370">
        <f t="shared" si="62"/>
        <v>0</v>
      </c>
      <c r="DN75" s="370">
        <f t="shared" si="63"/>
        <v>0</v>
      </c>
      <c r="DO75" s="370">
        <f t="shared" si="64"/>
        <v>0</v>
      </c>
      <c r="DP75" s="370">
        <f t="shared" si="65"/>
        <v>21200000</v>
      </c>
      <c r="DQ75" s="378">
        <f t="shared" si="66"/>
        <v>0</v>
      </c>
      <c r="DR75" s="370">
        <f t="shared" si="67"/>
        <v>0</v>
      </c>
      <c r="DS75" s="370">
        <f t="shared" si="68"/>
        <v>0</v>
      </c>
      <c r="DT75" s="370">
        <f t="shared" si="69"/>
        <v>0</v>
      </c>
      <c r="DU75" s="370">
        <f t="shared" si="70"/>
        <v>0</v>
      </c>
      <c r="DW75" s="300">
        <v>0</v>
      </c>
      <c r="DX75" s="300">
        <v>0</v>
      </c>
      <c r="DY75" s="300">
        <v>0</v>
      </c>
      <c r="DZ75" s="381">
        <f t="shared" si="73"/>
        <v>3816000</v>
      </c>
      <c r="EA75" s="382">
        <f t="shared" si="74"/>
        <v>46216000</v>
      </c>
      <c r="EB75" s="608"/>
      <c r="EC75" s="280" t="s">
        <v>1177</v>
      </c>
    </row>
    <row r="76" spans="1:133" ht="137.25" hidden="1" customHeight="1" thickTop="1" thickBot="1">
      <c r="A76" s="133">
        <v>1</v>
      </c>
      <c r="B76" s="411" t="s">
        <v>6</v>
      </c>
      <c r="C76" s="135" t="s">
        <v>304</v>
      </c>
      <c r="D76" s="135" t="s">
        <v>305</v>
      </c>
      <c r="E76" s="412" t="s">
        <v>114</v>
      </c>
      <c r="F76" s="347" t="s">
        <v>306</v>
      </c>
      <c r="G76" s="412" t="s">
        <v>495</v>
      </c>
      <c r="H76" s="347" t="s">
        <v>498</v>
      </c>
      <c r="I76" s="347" t="s">
        <v>913</v>
      </c>
      <c r="J76" s="32">
        <v>49</v>
      </c>
      <c r="K76" s="348" t="s">
        <v>506</v>
      </c>
      <c r="L76" s="40" t="s">
        <v>507</v>
      </c>
      <c r="M76" s="40" t="s">
        <v>677</v>
      </c>
      <c r="N76" s="349" t="s">
        <v>11</v>
      </c>
      <c r="O76" s="350">
        <v>19</v>
      </c>
      <c r="P76" s="40" t="s">
        <v>23</v>
      </c>
      <c r="Q76" s="32">
        <v>1903</v>
      </c>
      <c r="R76" s="32">
        <v>1903011</v>
      </c>
      <c r="S76" s="39" t="s">
        <v>24</v>
      </c>
      <c r="T76" s="39" t="s">
        <v>359</v>
      </c>
      <c r="U76" s="32">
        <v>190301100</v>
      </c>
      <c r="V76" s="39" t="s">
        <v>26</v>
      </c>
      <c r="W76" s="417" t="s">
        <v>316</v>
      </c>
      <c r="X76" s="418">
        <f>SUM(BE76:BE76)</f>
        <v>195832000</v>
      </c>
      <c r="Y76" s="417"/>
      <c r="Z76" s="417"/>
      <c r="AA76" s="417"/>
      <c r="AB76" s="417"/>
      <c r="AC76" s="417"/>
      <c r="AD76" s="417"/>
      <c r="AE76" s="417"/>
      <c r="AF76" s="417"/>
      <c r="AG76" s="417"/>
      <c r="AH76" s="356">
        <f t="shared" si="40"/>
        <v>195832000</v>
      </c>
      <c r="AI76" s="397" t="s">
        <v>132</v>
      </c>
      <c r="AJ76" s="80">
        <v>800</v>
      </c>
      <c r="AK76" s="80">
        <v>800</v>
      </c>
      <c r="AL76" s="80">
        <v>800</v>
      </c>
      <c r="AM76" s="80">
        <v>800</v>
      </c>
      <c r="AN76" s="80">
        <v>800</v>
      </c>
      <c r="AO76" s="450">
        <v>1</v>
      </c>
      <c r="AP76" s="451">
        <f t="shared" si="47"/>
        <v>100</v>
      </c>
      <c r="AQ76" s="359" t="s">
        <v>316</v>
      </c>
      <c r="AR76" s="25">
        <v>0</v>
      </c>
      <c r="AS76" s="25">
        <v>30</v>
      </c>
      <c r="AT76" s="25">
        <v>30</v>
      </c>
      <c r="AU76" s="25">
        <v>40</v>
      </c>
      <c r="AV76" s="39" t="s">
        <v>678</v>
      </c>
      <c r="AW76" s="39" t="s">
        <v>922</v>
      </c>
      <c r="AX76" s="39" t="s">
        <v>923</v>
      </c>
      <c r="AY76" s="25">
        <v>373</v>
      </c>
      <c r="AZ76" s="39" t="s">
        <v>762</v>
      </c>
      <c r="BA76" s="40" t="s">
        <v>24</v>
      </c>
      <c r="BB76" s="360" t="s">
        <v>730</v>
      </c>
      <c r="BC76" s="361" t="s">
        <v>683</v>
      </c>
      <c r="BD76" s="40" t="s">
        <v>731</v>
      </c>
      <c r="BE76" s="421">
        <v>195832000</v>
      </c>
      <c r="BF76" s="363" t="s">
        <v>924</v>
      </c>
      <c r="BG76" s="364" t="s">
        <v>925</v>
      </c>
      <c r="BH76" s="365" t="s">
        <v>926</v>
      </c>
      <c r="BI76" s="365"/>
      <c r="BJ76" s="26" t="s">
        <v>765</v>
      </c>
      <c r="BK76" s="26" t="s">
        <v>766</v>
      </c>
      <c r="BL76" s="359">
        <v>0</v>
      </c>
      <c r="BM76" s="359">
        <v>0</v>
      </c>
      <c r="BN76" s="359">
        <v>0</v>
      </c>
      <c r="BO76" s="366">
        <f t="shared" si="48"/>
        <v>0</v>
      </c>
      <c r="BP76" s="367">
        <f t="shared" si="49"/>
        <v>0</v>
      </c>
      <c r="BQ76" s="359">
        <v>0</v>
      </c>
      <c r="BR76" s="413">
        <v>12.5</v>
      </c>
      <c r="BS76" s="413">
        <v>12.5</v>
      </c>
      <c r="BT76" s="366">
        <f t="shared" si="50"/>
        <v>25</v>
      </c>
      <c r="BU76" s="367">
        <f t="shared" si="51"/>
        <v>0.25</v>
      </c>
      <c r="BV76" s="359">
        <v>12.5</v>
      </c>
      <c r="BW76" s="359">
        <v>12.5</v>
      </c>
      <c r="BX76" s="359">
        <v>12.5</v>
      </c>
      <c r="BY76" s="366">
        <f t="shared" si="52"/>
        <v>37.5</v>
      </c>
      <c r="BZ76" s="367">
        <f t="shared" si="53"/>
        <v>0.375</v>
      </c>
      <c r="CA76" s="359">
        <v>0</v>
      </c>
      <c r="CB76" s="359">
        <v>0</v>
      </c>
      <c r="CC76" s="359">
        <v>0</v>
      </c>
      <c r="CD76" s="366">
        <f t="shared" si="54"/>
        <v>0</v>
      </c>
      <c r="CE76" s="367">
        <f t="shared" si="55"/>
        <v>0</v>
      </c>
      <c r="CF76" s="368">
        <f t="shared" si="56"/>
        <v>62.5</v>
      </c>
      <c r="CG76" s="359">
        <f t="shared" si="41"/>
        <v>0.625</v>
      </c>
      <c r="CH76" s="369"/>
      <c r="CI76" s="369"/>
      <c r="CJ76" s="370">
        <v>0</v>
      </c>
      <c r="CK76" s="370">
        <v>0</v>
      </c>
      <c r="CL76" s="372">
        <v>0</v>
      </c>
      <c r="CM76" s="374">
        <v>0</v>
      </c>
      <c r="CN76" s="374">
        <f t="shared" si="57"/>
        <v>0</v>
      </c>
      <c r="CO76" s="370">
        <f t="shared" si="42"/>
        <v>0</v>
      </c>
      <c r="CP76" s="370">
        <v>0</v>
      </c>
      <c r="CQ76" s="370">
        <v>0</v>
      </c>
      <c r="CR76" s="372">
        <v>13560000</v>
      </c>
      <c r="CS76" s="374">
        <f>55680000+74111500+30933370</f>
        <v>160724870</v>
      </c>
      <c r="CT76" s="375">
        <f t="shared" si="58"/>
        <v>13560000</v>
      </c>
      <c r="CU76" s="370">
        <f t="shared" si="43"/>
        <v>6.9243024633359213E-2</v>
      </c>
      <c r="CV76" s="370">
        <f>35056000-CT76</f>
        <v>21496000</v>
      </c>
      <c r="CW76" s="370">
        <v>14896000</v>
      </c>
      <c r="CX76" s="372">
        <f>89040000-CR76-CV76-CW76</f>
        <v>39088000</v>
      </c>
      <c r="CY76" s="374">
        <f>192052870-CS76</f>
        <v>31328000</v>
      </c>
      <c r="CZ76" s="375">
        <f t="shared" si="59"/>
        <v>75480000</v>
      </c>
      <c r="DA76" s="370">
        <f t="shared" si="44"/>
        <v>0.38543241145471629</v>
      </c>
      <c r="DB76" s="370">
        <v>27976000</v>
      </c>
      <c r="DC76" s="370">
        <v>24792000</v>
      </c>
      <c r="DD76" s="372">
        <v>0</v>
      </c>
      <c r="DE76" s="374">
        <v>3779130</v>
      </c>
      <c r="DF76" s="375">
        <f t="shared" si="71"/>
        <v>52768000</v>
      </c>
      <c r="DG76" s="370">
        <f t="shared" si="45"/>
        <v>0.26945545161158546</v>
      </c>
      <c r="DH76" s="376">
        <f t="shared" si="60"/>
        <v>195832000</v>
      </c>
      <c r="DI76" s="376">
        <f t="shared" si="72"/>
        <v>141808000</v>
      </c>
      <c r="DJ76" s="370">
        <f t="shared" si="46"/>
        <v>1</v>
      </c>
      <c r="DK76" s="370"/>
      <c r="DL76" s="377">
        <f t="shared" si="61"/>
        <v>195832000</v>
      </c>
      <c r="DM76" s="370">
        <f t="shared" si="62"/>
        <v>0</v>
      </c>
      <c r="DN76" s="370">
        <f t="shared" si="63"/>
        <v>160724870</v>
      </c>
      <c r="DO76" s="370">
        <f t="shared" si="64"/>
        <v>31328000</v>
      </c>
      <c r="DP76" s="370">
        <f t="shared" si="65"/>
        <v>3779130</v>
      </c>
      <c r="DQ76" s="378">
        <f t="shared" si="66"/>
        <v>141808000</v>
      </c>
      <c r="DR76" s="370">
        <f t="shared" si="67"/>
        <v>0</v>
      </c>
      <c r="DS76" s="370">
        <f t="shared" si="68"/>
        <v>13560000</v>
      </c>
      <c r="DT76" s="370">
        <f t="shared" si="69"/>
        <v>75480000</v>
      </c>
      <c r="DU76" s="370">
        <f t="shared" si="70"/>
        <v>52768000</v>
      </c>
      <c r="DW76" s="300">
        <v>3217430</v>
      </c>
      <c r="DX76" s="300">
        <v>4212912.4492480131</v>
      </c>
      <c r="DY76" s="300">
        <v>0</v>
      </c>
      <c r="DZ76" s="381">
        <f t="shared" si="73"/>
        <v>17624880</v>
      </c>
      <c r="EA76" s="382">
        <f t="shared" si="74"/>
        <v>213456880</v>
      </c>
      <c r="EB76" s="608"/>
      <c r="EC76" s="280" t="s">
        <v>1176</v>
      </c>
    </row>
    <row r="77" spans="1:133" ht="96.75" hidden="1" customHeight="1" thickTop="1" thickBot="1">
      <c r="A77" s="133"/>
      <c r="B77" s="411"/>
      <c r="C77" s="135"/>
      <c r="D77" s="135"/>
      <c r="E77" s="412" t="s">
        <v>114</v>
      </c>
      <c r="F77" s="347" t="s">
        <v>306</v>
      </c>
      <c r="G77" s="412" t="s">
        <v>495</v>
      </c>
      <c r="H77" s="347" t="s">
        <v>498</v>
      </c>
      <c r="I77" s="347"/>
      <c r="J77" s="32"/>
      <c r="K77" s="348" t="s">
        <v>506</v>
      </c>
      <c r="L77" s="40" t="s">
        <v>507</v>
      </c>
      <c r="M77" s="40" t="s">
        <v>677</v>
      </c>
      <c r="N77" s="349" t="s">
        <v>11</v>
      </c>
      <c r="O77" s="350">
        <v>19</v>
      </c>
      <c r="P77" s="40" t="s">
        <v>23</v>
      </c>
      <c r="Q77" s="32">
        <v>1903</v>
      </c>
      <c r="R77" s="32">
        <v>1903011</v>
      </c>
      <c r="S77" s="39" t="s">
        <v>24</v>
      </c>
      <c r="T77" s="39" t="s">
        <v>359</v>
      </c>
      <c r="U77" s="32">
        <v>190301100</v>
      </c>
      <c r="V77" s="39" t="s">
        <v>26</v>
      </c>
      <c r="W77" s="417"/>
      <c r="X77" s="418"/>
      <c r="Y77" s="417"/>
      <c r="Z77" s="417"/>
      <c r="AA77" s="417"/>
      <c r="AB77" s="417"/>
      <c r="AC77" s="417"/>
      <c r="AD77" s="417"/>
      <c r="AE77" s="417"/>
      <c r="AF77" s="417"/>
      <c r="AG77" s="417"/>
      <c r="AH77" s="356"/>
      <c r="AI77" s="452" t="s">
        <v>133</v>
      </c>
      <c r="AJ77" s="80"/>
      <c r="AK77" s="80"/>
      <c r="AL77" s="80"/>
      <c r="AM77" s="80"/>
      <c r="AN77" s="80"/>
      <c r="AO77" s="450"/>
      <c r="AP77" s="33">
        <f t="shared" ref="AP77:AP83" si="75">+SUM(AR77:AU77)</f>
        <v>34974</v>
      </c>
      <c r="AQ77" s="359"/>
      <c r="AR77" s="25">
        <v>0</v>
      </c>
      <c r="AS77" s="25">
        <v>4996</v>
      </c>
      <c r="AT77" s="25">
        <f>4996*3</f>
        <v>14988</v>
      </c>
      <c r="AU77" s="25">
        <f>4996*3+2</f>
        <v>14990</v>
      </c>
      <c r="AV77" s="444" t="s">
        <v>678</v>
      </c>
      <c r="AW77" s="444" t="s">
        <v>922</v>
      </c>
      <c r="AX77" s="438" t="s">
        <v>927</v>
      </c>
      <c r="AY77" s="32">
        <v>565</v>
      </c>
      <c r="AZ77" s="39" t="s">
        <v>762</v>
      </c>
      <c r="BA77" s="40" t="s">
        <v>24</v>
      </c>
      <c r="BB77" s="440" t="s">
        <v>928</v>
      </c>
      <c r="BC77" s="453" t="s">
        <v>683</v>
      </c>
      <c r="BD77" s="399" t="s">
        <v>929</v>
      </c>
      <c r="BE77" s="420">
        <v>27200000</v>
      </c>
      <c r="BF77" s="363" t="s">
        <v>866</v>
      </c>
      <c r="BG77" s="364" t="s">
        <v>925</v>
      </c>
      <c r="BH77" s="365" t="s">
        <v>926</v>
      </c>
      <c r="BI77" s="365"/>
      <c r="BJ77" s="26" t="s">
        <v>765</v>
      </c>
      <c r="BK77" s="26" t="s">
        <v>766</v>
      </c>
      <c r="BL77" s="359">
        <v>0</v>
      </c>
      <c r="BM77" s="359">
        <v>0</v>
      </c>
      <c r="BN77" s="359">
        <v>0</v>
      </c>
      <c r="BO77" s="366">
        <f t="shared" si="48"/>
        <v>0</v>
      </c>
      <c r="BP77" s="367">
        <f t="shared" si="49"/>
        <v>0</v>
      </c>
      <c r="BQ77" s="359">
        <v>0</v>
      </c>
      <c r="BR77" s="359">
        <v>0</v>
      </c>
      <c r="BS77" s="359">
        <v>0</v>
      </c>
      <c r="BT77" s="366">
        <f t="shared" si="50"/>
        <v>0</v>
      </c>
      <c r="BU77" s="367">
        <f t="shared" si="51"/>
        <v>0</v>
      </c>
      <c r="BV77" s="359">
        <v>4137</v>
      </c>
      <c r="BW77" s="359">
        <v>5417</v>
      </c>
      <c r="BX77" s="359">
        <v>0</v>
      </c>
      <c r="BY77" s="366">
        <f t="shared" si="52"/>
        <v>9554</v>
      </c>
      <c r="BZ77" s="367">
        <f t="shared" si="53"/>
        <v>0.27317435809458457</v>
      </c>
      <c r="CA77" s="359">
        <v>0</v>
      </c>
      <c r="CB77" s="359">
        <v>0</v>
      </c>
      <c r="CC77" s="359">
        <v>0</v>
      </c>
      <c r="CD77" s="366">
        <f t="shared" si="54"/>
        <v>0</v>
      </c>
      <c r="CE77" s="367">
        <f t="shared" si="55"/>
        <v>0</v>
      </c>
      <c r="CF77" s="368">
        <f t="shared" si="56"/>
        <v>9554</v>
      </c>
      <c r="CG77" s="359"/>
      <c r="CH77" s="369"/>
      <c r="CI77" s="369"/>
      <c r="CJ77" s="370">
        <v>0</v>
      </c>
      <c r="CK77" s="370">
        <v>0</v>
      </c>
      <c r="CL77" s="372">
        <v>0</v>
      </c>
      <c r="CM77" s="374">
        <v>0</v>
      </c>
      <c r="CN77" s="374">
        <f t="shared" si="57"/>
        <v>0</v>
      </c>
      <c r="CO77" s="370"/>
      <c r="CP77" s="370">
        <v>0</v>
      </c>
      <c r="CQ77" s="370">
        <v>0</v>
      </c>
      <c r="CR77" s="372">
        <v>0</v>
      </c>
      <c r="CS77" s="374">
        <v>27200000</v>
      </c>
      <c r="CT77" s="375">
        <f t="shared" si="58"/>
        <v>0</v>
      </c>
      <c r="CU77" s="370"/>
      <c r="CV77" s="370">
        <v>0</v>
      </c>
      <c r="CW77" s="454">
        <v>3217430</v>
      </c>
      <c r="CX77" s="455">
        <v>4212912.4492480131</v>
      </c>
      <c r="CY77" s="374">
        <v>0</v>
      </c>
      <c r="CZ77" s="375">
        <f t="shared" si="59"/>
        <v>7430342.4492480131</v>
      </c>
      <c r="DA77" s="370"/>
      <c r="DB77" s="370">
        <v>4971967.7474695491</v>
      </c>
      <c r="DC77" s="370">
        <v>4554331.7893292159</v>
      </c>
      <c r="DD77" s="372">
        <v>5233281.9574541096</v>
      </c>
      <c r="DE77" s="374">
        <v>0</v>
      </c>
      <c r="DF77" s="375">
        <f t="shared" si="71"/>
        <v>14759581.494252874</v>
      </c>
      <c r="DG77" s="370"/>
      <c r="DH77" s="376">
        <f t="shared" si="60"/>
        <v>27200000</v>
      </c>
      <c r="DI77" s="376">
        <f t="shared" si="72"/>
        <v>22189923.943500888</v>
      </c>
      <c r="DJ77" s="370"/>
      <c r="DK77" s="370"/>
      <c r="DL77" s="377">
        <f t="shared" si="61"/>
        <v>27200000</v>
      </c>
      <c r="DM77" s="370">
        <f t="shared" si="62"/>
        <v>0</v>
      </c>
      <c r="DN77" s="370">
        <f t="shared" si="63"/>
        <v>27200000</v>
      </c>
      <c r="DO77" s="370">
        <f t="shared" si="64"/>
        <v>0</v>
      </c>
      <c r="DP77" s="370">
        <f t="shared" si="65"/>
        <v>0</v>
      </c>
      <c r="DQ77" s="378">
        <f t="shared" si="66"/>
        <v>22189923.943500888</v>
      </c>
      <c r="DR77" s="370">
        <f t="shared" si="67"/>
        <v>0</v>
      </c>
      <c r="DS77" s="370">
        <f t="shared" si="68"/>
        <v>0</v>
      </c>
      <c r="DT77" s="370">
        <f t="shared" si="69"/>
        <v>7430342.4492480131</v>
      </c>
      <c r="DU77" s="370">
        <f t="shared" si="70"/>
        <v>14759581.494252874</v>
      </c>
      <c r="DV77" s="300"/>
      <c r="DW77" s="300">
        <v>3217430</v>
      </c>
      <c r="DX77" s="300">
        <v>4212912.4492480131</v>
      </c>
      <c r="DY77" s="300">
        <v>0</v>
      </c>
      <c r="DZ77" s="381">
        <f t="shared" si="73"/>
        <v>2448000</v>
      </c>
      <c r="EA77" s="382">
        <f>BE77+DZ77+50000000</f>
        <v>79648000</v>
      </c>
      <c r="EB77" s="614" t="s">
        <v>1040</v>
      </c>
      <c r="EC77" s="280" t="s">
        <v>1176</v>
      </c>
    </row>
    <row r="78" spans="1:133" ht="125.25" customHeight="1" thickTop="1" thickBot="1">
      <c r="A78" s="133"/>
      <c r="B78" s="411"/>
      <c r="C78" s="135"/>
      <c r="D78" s="135"/>
      <c r="E78" s="412" t="s">
        <v>114</v>
      </c>
      <c r="F78" s="347" t="s">
        <v>306</v>
      </c>
      <c r="G78" s="412" t="s">
        <v>495</v>
      </c>
      <c r="H78" s="347" t="s">
        <v>498</v>
      </c>
      <c r="I78" s="347"/>
      <c r="J78" s="32"/>
      <c r="K78" s="348" t="s">
        <v>506</v>
      </c>
      <c r="L78" s="40" t="s">
        <v>507</v>
      </c>
      <c r="M78" s="40" t="s">
        <v>677</v>
      </c>
      <c r="N78" s="349" t="s">
        <v>11</v>
      </c>
      <c r="O78" s="350">
        <v>19</v>
      </c>
      <c r="P78" s="40" t="s">
        <v>23</v>
      </c>
      <c r="Q78" s="32">
        <v>1903</v>
      </c>
      <c r="R78" s="32">
        <v>1903011</v>
      </c>
      <c r="S78" s="39" t="s">
        <v>24</v>
      </c>
      <c r="T78" s="39" t="s">
        <v>359</v>
      </c>
      <c r="U78" s="32">
        <v>190301100</v>
      </c>
      <c r="V78" s="39" t="s">
        <v>26</v>
      </c>
      <c r="W78" s="417"/>
      <c r="X78" s="418"/>
      <c r="Y78" s="417"/>
      <c r="Z78" s="417"/>
      <c r="AA78" s="417"/>
      <c r="AB78" s="417"/>
      <c r="AC78" s="417"/>
      <c r="AD78" s="417"/>
      <c r="AE78" s="417"/>
      <c r="AF78" s="417"/>
      <c r="AG78" s="417"/>
      <c r="AH78" s="356"/>
      <c r="AI78" s="452" t="s">
        <v>133</v>
      </c>
      <c r="AJ78" s="80"/>
      <c r="AK78" s="80"/>
      <c r="AL78" s="80"/>
      <c r="AM78" s="80"/>
      <c r="AN78" s="80"/>
      <c r="AO78" s="450"/>
      <c r="AP78" s="33">
        <f t="shared" ref="AP78" si="76">+SUM(AR78:AU78)</f>
        <v>2402</v>
      </c>
      <c r="AQ78" s="359"/>
      <c r="AR78" s="25">
        <v>0</v>
      </c>
      <c r="AS78" s="25">
        <v>343</v>
      </c>
      <c r="AT78" s="25">
        <f>343*3</f>
        <v>1029</v>
      </c>
      <c r="AU78" s="25">
        <f>343*3+1</f>
        <v>1030</v>
      </c>
      <c r="AV78" s="444" t="s">
        <v>678</v>
      </c>
      <c r="AW78" s="444" t="s">
        <v>922</v>
      </c>
      <c r="AX78" s="24" t="s">
        <v>930</v>
      </c>
      <c r="AY78" s="32">
        <v>687</v>
      </c>
      <c r="AZ78" s="39" t="s">
        <v>762</v>
      </c>
      <c r="BA78" s="40" t="s">
        <v>24</v>
      </c>
      <c r="BB78" s="438" t="s">
        <v>931</v>
      </c>
      <c r="BC78" s="453" t="s">
        <v>683</v>
      </c>
      <c r="BD78" s="399" t="s">
        <v>929</v>
      </c>
      <c r="BE78" s="456">
        <v>49000000</v>
      </c>
      <c r="BF78" s="363" t="s">
        <v>866</v>
      </c>
      <c r="BG78" s="364" t="s">
        <v>925</v>
      </c>
      <c r="BH78" s="365" t="s">
        <v>926</v>
      </c>
      <c r="BI78" s="365"/>
      <c r="BJ78" s="26" t="s">
        <v>765</v>
      </c>
      <c r="BK78" s="26" t="s">
        <v>766</v>
      </c>
      <c r="BL78" s="359">
        <v>0</v>
      </c>
      <c r="BM78" s="359">
        <v>0</v>
      </c>
      <c r="BN78" s="359">
        <v>0</v>
      </c>
      <c r="BO78" s="366">
        <f t="shared" ref="BO78" si="77">SUM(BL78:BN78)</f>
        <v>0</v>
      </c>
      <c r="BP78" s="367">
        <f t="shared" si="49"/>
        <v>0</v>
      </c>
      <c r="BQ78" s="359">
        <v>0</v>
      </c>
      <c r="BR78" s="359">
        <v>0</v>
      </c>
      <c r="BS78" s="359">
        <v>0</v>
      </c>
      <c r="BT78" s="366">
        <f t="shared" ref="BT78" si="78">SUM(BQ78:BS78)</f>
        <v>0</v>
      </c>
      <c r="BU78" s="367">
        <f t="shared" si="51"/>
        <v>0</v>
      </c>
      <c r="BV78" s="457">
        <v>142</v>
      </c>
      <c r="BW78" s="359">
        <v>510</v>
      </c>
      <c r="BX78" s="359">
        <v>0</v>
      </c>
      <c r="BY78" s="366">
        <f t="shared" ref="BY78" si="79">SUM(BV78:BX78)</f>
        <v>652</v>
      </c>
      <c r="BZ78" s="367">
        <f t="shared" si="53"/>
        <v>0.27144046627810159</v>
      </c>
      <c r="CA78" s="359">
        <v>0</v>
      </c>
      <c r="CB78" s="359">
        <v>0</v>
      </c>
      <c r="CC78" s="359">
        <v>0</v>
      </c>
      <c r="CD78" s="366">
        <f t="shared" ref="CD78" si="80">SUM(CA78:CC78)</f>
        <v>0</v>
      </c>
      <c r="CE78" s="367">
        <f t="shared" si="55"/>
        <v>0</v>
      </c>
      <c r="CF78" s="368">
        <f t="shared" si="56"/>
        <v>652</v>
      </c>
      <c r="CG78" s="359"/>
      <c r="CH78" s="369"/>
      <c r="CI78" s="369"/>
      <c r="CJ78" s="370">
        <v>0</v>
      </c>
      <c r="CK78" s="370">
        <v>0</v>
      </c>
      <c r="CL78" s="372">
        <v>0</v>
      </c>
      <c r="CM78" s="374">
        <v>0</v>
      </c>
      <c r="CN78" s="374">
        <f t="shared" si="57"/>
        <v>0</v>
      </c>
      <c r="CO78" s="370"/>
      <c r="CP78" s="370">
        <v>0</v>
      </c>
      <c r="CQ78" s="370">
        <v>0</v>
      </c>
      <c r="CR78" s="372">
        <v>0</v>
      </c>
      <c r="CS78" s="374">
        <v>0</v>
      </c>
      <c r="CT78" s="375">
        <f t="shared" si="58"/>
        <v>0</v>
      </c>
      <c r="CU78" s="370"/>
      <c r="CV78" s="370">
        <v>0</v>
      </c>
      <c r="CW78" s="454">
        <v>0</v>
      </c>
      <c r="CX78" s="455">
        <v>0</v>
      </c>
      <c r="CY78" s="374">
        <v>0</v>
      </c>
      <c r="CZ78" s="375">
        <f t="shared" si="59"/>
        <v>0</v>
      </c>
      <c r="DA78" s="370"/>
      <c r="DB78" s="370">
        <v>0</v>
      </c>
      <c r="DC78" s="370">
        <v>0</v>
      </c>
      <c r="DD78" s="372">
        <v>49000000</v>
      </c>
      <c r="DE78" s="370">
        <v>49000000</v>
      </c>
      <c r="DF78" s="375">
        <f t="shared" si="71"/>
        <v>49000000</v>
      </c>
      <c r="DG78" s="370"/>
      <c r="DH78" s="376">
        <f>$CM78+$CS78+$CY78+$DE78</f>
        <v>49000000</v>
      </c>
      <c r="DI78" s="376">
        <f>$CN78+$CT78+$CZ78+$DF78</f>
        <v>49000000</v>
      </c>
      <c r="DJ78" s="370"/>
      <c r="DK78" s="370"/>
      <c r="DL78" s="377">
        <f t="shared" ref="DL78" si="81">SUM(DM78:DP78)</f>
        <v>49000000</v>
      </c>
      <c r="DM78" s="370">
        <f t="shared" si="62"/>
        <v>0</v>
      </c>
      <c r="DN78" s="370">
        <f t="shared" si="63"/>
        <v>0</v>
      </c>
      <c r="DO78" s="370">
        <f t="shared" si="64"/>
        <v>0</v>
      </c>
      <c r="DP78" s="370">
        <f t="shared" si="65"/>
        <v>49000000</v>
      </c>
      <c r="DQ78" s="378">
        <f t="shared" si="66"/>
        <v>49000000</v>
      </c>
      <c r="DR78" s="370">
        <f t="shared" si="67"/>
        <v>0</v>
      </c>
      <c r="DS78" s="370">
        <f t="shared" si="68"/>
        <v>0</v>
      </c>
      <c r="DT78" s="370">
        <f t="shared" si="69"/>
        <v>0</v>
      </c>
      <c r="DU78" s="370">
        <f t="shared" si="70"/>
        <v>49000000</v>
      </c>
      <c r="DW78" s="300">
        <v>6857619</v>
      </c>
      <c r="DX78" s="300">
        <v>24629475.437135722</v>
      </c>
      <c r="DY78" s="300">
        <v>0</v>
      </c>
      <c r="DZ78" s="381">
        <f>BE78*9%</f>
        <v>4410000</v>
      </c>
      <c r="EA78" s="382">
        <v>0</v>
      </c>
      <c r="EB78" s="608"/>
      <c r="EC78" s="280" t="s">
        <v>1181</v>
      </c>
    </row>
    <row r="79" spans="1:133" ht="104.25" hidden="1" customHeight="1" thickTop="1" thickBot="1">
      <c r="A79" s="133"/>
      <c r="B79" s="411"/>
      <c r="C79" s="135"/>
      <c r="D79" s="135"/>
      <c r="E79" s="412" t="s">
        <v>114</v>
      </c>
      <c r="F79" s="347" t="s">
        <v>306</v>
      </c>
      <c r="G79" s="412" t="s">
        <v>495</v>
      </c>
      <c r="H79" s="347" t="s">
        <v>498</v>
      </c>
      <c r="I79" s="347"/>
      <c r="J79" s="32"/>
      <c r="K79" s="348" t="s">
        <v>506</v>
      </c>
      <c r="L79" s="40" t="s">
        <v>507</v>
      </c>
      <c r="M79" s="40" t="s">
        <v>677</v>
      </c>
      <c r="N79" s="349" t="s">
        <v>11</v>
      </c>
      <c r="O79" s="350">
        <v>19</v>
      </c>
      <c r="P79" s="40" t="s">
        <v>23</v>
      </c>
      <c r="Q79" s="32">
        <v>1903</v>
      </c>
      <c r="R79" s="32">
        <v>1903011</v>
      </c>
      <c r="S79" s="39" t="s">
        <v>24</v>
      </c>
      <c r="T79" s="39" t="s">
        <v>359</v>
      </c>
      <c r="U79" s="32">
        <v>190301100</v>
      </c>
      <c r="V79" s="39" t="s">
        <v>26</v>
      </c>
      <c r="W79" s="417"/>
      <c r="X79" s="418"/>
      <c r="Y79" s="417"/>
      <c r="Z79" s="417"/>
      <c r="AA79" s="417"/>
      <c r="AB79" s="417"/>
      <c r="AC79" s="417"/>
      <c r="AD79" s="417"/>
      <c r="AE79" s="417"/>
      <c r="AF79" s="417"/>
      <c r="AG79" s="417"/>
      <c r="AH79" s="356"/>
      <c r="AI79" s="452" t="s">
        <v>134</v>
      </c>
      <c r="AJ79" s="80"/>
      <c r="AK79" s="80"/>
      <c r="AL79" s="80"/>
      <c r="AM79" s="80"/>
      <c r="AN79" s="80"/>
      <c r="AO79" s="450"/>
      <c r="AP79" s="33">
        <f t="shared" si="75"/>
        <v>23138</v>
      </c>
      <c r="AQ79" s="359"/>
      <c r="AR79" s="25">
        <v>0</v>
      </c>
      <c r="AS79" s="25">
        <v>3305</v>
      </c>
      <c r="AT79" s="25">
        <f>3305*3</f>
        <v>9915</v>
      </c>
      <c r="AU79" s="25">
        <f>3305*3+3</f>
        <v>9918</v>
      </c>
      <c r="AV79" s="444" t="s">
        <v>678</v>
      </c>
      <c r="AW79" s="444" t="s">
        <v>922</v>
      </c>
      <c r="AX79" s="438" t="s">
        <v>927</v>
      </c>
      <c r="AY79" s="32">
        <v>565</v>
      </c>
      <c r="AZ79" s="39" t="s">
        <v>762</v>
      </c>
      <c r="BA79" s="40" t="s">
        <v>24</v>
      </c>
      <c r="BB79" s="440" t="s">
        <v>928</v>
      </c>
      <c r="BC79" s="453" t="s">
        <v>683</v>
      </c>
      <c r="BD79" s="399" t="s">
        <v>929</v>
      </c>
      <c r="BE79" s="420">
        <v>60650000</v>
      </c>
      <c r="BF79" s="363" t="s">
        <v>866</v>
      </c>
      <c r="BG79" s="364" t="s">
        <v>925</v>
      </c>
      <c r="BH79" s="365" t="s">
        <v>926</v>
      </c>
      <c r="BI79" s="365"/>
      <c r="BJ79" s="26" t="s">
        <v>765</v>
      </c>
      <c r="BK79" s="26" t="s">
        <v>766</v>
      </c>
      <c r="BL79" s="359">
        <v>0</v>
      </c>
      <c r="BM79" s="359">
        <v>0</v>
      </c>
      <c r="BN79" s="359">
        <v>0</v>
      </c>
      <c r="BO79" s="366">
        <f t="shared" si="48"/>
        <v>0</v>
      </c>
      <c r="BP79" s="367">
        <f t="shared" si="49"/>
        <v>0</v>
      </c>
      <c r="BQ79" s="359">
        <v>0</v>
      </c>
      <c r="BR79" s="359">
        <v>0</v>
      </c>
      <c r="BS79" s="359">
        <v>0</v>
      </c>
      <c r="BT79" s="366">
        <f t="shared" si="50"/>
        <v>0</v>
      </c>
      <c r="BU79" s="367">
        <f t="shared" si="51"/>
        <v>0</v>
      </c>
      <c r="BV79" s="359">
        <v>1159</v>
      </c>
      <c r="BW79" s="359">
        <v>1108</v>
      </c>
      <c r="BX79" s="359">
        <v>0</v>
      </c>
      <c r="BY79" s="366">
        <f t="shared" si="52"/>
        <v>2267</v>
      </c>
      <c r="BZ79" s="367">
        <f t="shared" si="53"/>
        <v>9.7977353271674297E-2</v>
      </c>
      <c r="CA79" s="359">
        <v>0</v>
      </c>
      <c r="CB79" s="359">
        <v>0</v>
      </c>
      <c r="CC79" s="359">
        <v>0</v>
      </c>
      <c r="CD79" s="366">
        <f t="shared" si="54"/>
        <v>0</v>
      </c>
      <c r="CE79" s="367">
        <f t="shared" si="55"/>
        <v>0</v>
      </c>
      <c r="CF79" s="368">
        <f t="shared" si="56"/>
        <v>2267</v>
      </c>
      <c r="CG79" s="359"/>
      <c r="CH79" s="369"/>
      <c r="CI79" s="369"/>
      <c r="CJ79" s="370">
        <v>0</v>
      </c>
      <c r="CK79" s="370">
        <v>0</v>
      </c>
      <c r="CL79" s="372">
        <v>0</v>
      </c>
      <c r="CM79" s="374">
        <v>0</v>
      </c>
      <c r="CN79" s="374">
        <f t="shared" si="57"/>
        <v>0</v>
      </c>
      <c r="CO79" s="370"/>
      <c r="CP79" s="370">
        <v>0</v>
      </c>
      <c r="CQ79" s="370">
        <v>0</v>
      </c>
      <c r="CR79" s="372">
        <v>0</v>
      </c>
      <c r="CS79" s="374">
        <v>60650000</v>
      </c>
      <c r="CT79" s="375">
        <f t="shared" si="58"/>
        <v>0</v>
      </c>
      <c r="CU79" s="370"/>
      <c r="CV79" s="370">
        <v>0</v>
      </c>
      <c r="CW79" s="454">
        <v>3038005</v>
      </c>
      <c r="CX79" s="455">
        <v>2904321.8947186447</v>
      </c>
      <c r="CY79" s="374">
        <v>0</v>
      </c>
      <c r="CZ79" s="375">
        <f t="shared" si="59"/>
        <v>5942326.8947186451</v>
      </c>
      <c r="DA79" s="370"/>
      <c r="DB79" s="370">
        <v>8125810.3552597454</v>
      </c>
      <c r="DC79" s="370">
        <v>7939703.0858328287</v>
      </c>
      <c r="DD79" s="372">
        <v>31263399.615783561</v>
      </c>
      <c r="DE79" s="374">
        <v>0</v>
      </c>
      <c r="DF79" s="375">
        <f t="shared" si="71"/>
        <v>47328913.056876138</v>
      </c>
      <c r="DG79" s="370"/>
      <c r="DH79" s="376">
        <f t="shared" si="60"/>
        <v>60650000</v>
      </c>
      <c r="DI79" s="376">
        <f t="shared" si="72"/>
        <v>53271239.951594785</v>
      </c>
      <c r="DJ79" s="370"/>
      <c r="DK79" s="370"/>
      <c r="DL79" s="377">
        <f t="shared" si="61"/>
        <v>60650000</v>
      </c>
      <c r="DM79" s="370">
        <f t="shared" si="62"/>
        <v>0</v>
      </c>
      <c r="DN79" s="370">
        <f t="shared" si="63"/>
        <v>60650000</v>
      </c>
      <c r="DO79" s="370">
        <f t="shared" si="64"/>
        <v>0</v>
      </c>
      <c r="DP79" s="370">
        <f t="shared" si="65"/>
        <v>0</v>
      </c>
      <c r="DQ79" s="378">
        <f t="shared" si="66"/>
        <v>53271239.951594785</v>
      </c>
      <c r="DR79" s="370">
        <f t="shared" si="67"/>
        <v>0</v>
      </c>
      <c r="DS79" s="370">
        <f t="shared" si="68"/>
        <v>0</v>
      </c>
      <c r="DT79" s="370">
        <f t="shared" si="69"/>
        <v>5942326.8947186451</v>
      </c>
      <c r="DU79" s="370">
        <f t="shared" si="70"/>
        <v>47328913.056876138</v>
      </c>
      <c r="DW79" s="300">
        <v>3038005</v>
      </c>
      <c r="DX79" s="300">
        <v>2904321.8947186447</v>
      </c>
      <c r="DY79" s="300">
        <v>0</v>
      </c>
      <c r="DZ79" s="381">
        <f t="shared" si="73"/>
        <v>5458500</v>
      </c>
      <c r="EA79" s="382">
        <f>BE79+DZ79+50000000</f>
        <v>116108500</v>
      </c>
      <c r="EB79" s="614" t="s">
        <v>1040</v>
      </c>
      <c r="EC79" s="280" t="s">
        <v>1176</v>
      </c>
    </row>
    <row r="80" spans="1:133" ht="89.25" hidden="1" customHeight="1" thickTop="1" thickBot="1">
      <c r="A80" s="133"/>
      <c r="B80" s="411"/>
      <c r="C80" s="135"/>
      <c r="D80" s="135"/>
      <c r="E80" s="412" t="s">
        <v>114</v>
      </c>
      <c r="F80" s="347" t="s">
        <v>306</v>
      </c>
      <c r="G80" s="412" t="s">
        <v>495</v>
      </c>
      <c r="H80" s="347" t="s">
        <v>498</v>
      </c>
      <c r="I80" s="347"/>
      <c r="J80" s="32"/>
      <c r="K80" s="348" t="s">
        <v>506</v>
      </c>
      <c r="L80" s="40" t="s">
        <v>507</v>
      </c>
      <c r="M80" s="40" t="s">
        <v>677</v>
      </c>
      <c r="N80" s="349" t="s">
        <v>11</v>
      </c>
      <c r="O80" s="350">
        <v>19</v>
      </c>
      <c r="P80" s="40" t="s">
        <v>23</v>
      </c>
      <c r="Q80" s="32">
        <v>1903</v>
      </c>
      <c r="R80" s="32">
        <v>1903011</v>
      </c>
      <c r="S80" s="39" t="s">
        <v>24</v>
      </c>
      <c r="T80" s="39" t="s">
        <v>359</v>
      </c>
      <c r="U80" s="32">
        <v>190301100</v>
      </c>
      <c r="V80" s="39" t="s">
        <v>26</v>
      </c>
      <c r="W80" s="417"/>
      <c r="X80" s="418"/>
      <c r="Y80" s="417"/>
      <c r="Z80" s="417"/>
      <c r="AA80" s="417"/>
      <c r="AB80" s="417"/>
      <c r="AC80" s="417"/>
      <c r="AD80" s="417"/>
      <c r="AE80" s="417"/>
      <c r="AF80" s="417"/>
      <c r="AG80" s="417"/>
      <c r="AH80" s="356"/>
      <c r="AI80" s="458" t="s">
        <v>135</v>
      </c>
      <c r="AJ80" s="80"/>
      <c r="AK80" s="80"/>
      <c r="AL80" s="80"/>
      <c r="AM80" s="80"/>
      <c r="AN80" s="80"/>
      <c r="AO80" s="450"/>
      <c r="AP80" s="33">
        <f t="shared" si="75"/>
        <v>78</v>
      </c>
      <c r="AQ80" s="359"/>
      <c r="AR80" s="25">
        <v>0</v>
      </c>
      <c r="AS80" s="25">
        <v>11</v>
      </c>
      <c r="AT80" s="25">
        <v>33</v>
      </c>
      <c r="AU80" s="25">
        <v>34</v>
      </c>
      <c r="AV80" s="444" t="s">
        <v>678</v>
      </c>
      <c r="AW80" s="444" t="s">
        <v>922</v>
      </c>
      <c r="AX80" s="438" t="s">
        <v>932</v>
      </c>
      <c r="AY80" s="25">
        <v>580</v>
      </c>
      <c r="AZ80" s="39" t="s">
        <v>729</v>
      </c>
      <c r="BA80" s="40" t="s">
        <v>24</v>
      </c>
      <c r="BB80" s="438" t="s">
        <v>933</v>
      </c>
      <c r="BC80" s="398" t="s">
        <v>748</v>
      </c>
      <c r="BD80" s="84" t="s">
        <v>934</v>
      </c>
      <c r="BE80" s="391">
        <v>50000000</v>
      </c>
      <c r="BF80" s="363" t="s">
        <v>866</v>
      </c>
      <c r="BG80" s="364" t="s">
        <v>925</v>
      </c>
      <c r="BH80" s="365" t="s">
        <v>926</v>
      </c>
      <c r="BI80" s="365"/>
      <c r="BJ80" s="26" t="s">
        <v>765</v>
      </c>
      <c r="BK80" s="26" t="s">
        <v>766</v>
      </c>
      <c r="BL80" s="359">
        <v>0</v>
      </c>
      <c r="BM80" s="359">
        <v>0</v>
      </c>
      <c r="BN80" s="359">
        <v>0</v>
      </c>
      <c r="BO80" s="366">
        <f t="shared" si="48"/>
        <v>0</v>
      </c>
      <c r="BP80" s="367">
        <f t="shared" si="49"/>
        <v>0</v>
      </c>
      <c r="BQ80" s="359">
        <v>0</v>
      </c>
      <c r="BR80" s="359">
        <v>0</v>
      </c>
      <c r="BS80" s="359">
        <v>0</v>
      </c>
      <c r="BT80" s="366">
        <f t="shared" si="50"/>
        <v>0</v>
      </c>
      <c r="BU80" s="367">
        <f t="shared" si="51"/>
        <v>0</v>
      </c>
      <c r="BV80" s="359">
        <v>10</v>
      </c>
      <c r="BW80" s="359">
        <v>16</v>
      </c>
      <c r="BX80" s="359">
        <v>0</v>
      </c>
      <c r="BY80" s="366">
        <f t="shared" si="52"/>
        <v>26</v>
      </c>
      <c r="BZ80" s="367">
        <f t="shared" si="53"/>
        <v>0.33333333333333331</v>
      </c>
      <c r="CA80" s="359">
        <v>0</v>
      </c>
      <c r="CB80" s="359">
        <v>0</v>
      </c>
      <c r="CC80" s="359">
        <v>0</v>
      </c>
      <c r="CD80" s="366">
        <f t="shared" si="54"/>
        <v>0</v>
      </c>
      <c r="CE80" s="367">
        <f t="shared" si="55"/>
        <v>0</v>
      </c>
      <c r="CF80" s="368">
        <f t="shared" si="56"/>
        <v>26</v>
      </c>
      <c r="CG80" s="359"/>
      <c r="CH80" s="369"/>
      <c r="CI80" s="369"/>
      <c r="CJ80" s="370">
        <v>0</v>
      </c>
      <c r="CK80" s="370">
        <v>0</v>
      </c>
      <c r="CL80" s="372">
        <v>0</v>
      </c>
      <c r="CM80" s="374">
        <v>0</v>
      </c>
      <c r="CN80" s="374">
        <f t="shared" si="57"/>
        <v>0</v>
      </c>
      <c r="CO80" s="370"/>
      <c r="CP80" s="370">
        <v>0</v>
      </c>
      <c r="CQ80" s="370">
        <v>0</v>
      </c>
      <c r="CR80" s="372">
        <v>0</v>
      </c>
      <c r="CS80" s="374">
        <v>50000000</v>
      </c>
      <c r="CT80" s="375">
        <f t="shared" si="58"/>
        <v>0</v>
      </c>
      <c r="CU80" s="370"/>
      <c r="CV80" s="370">
        <v>0</v>
      </c>
      <c r="CW80" s="370">
        <v>6699704</v>
      </c>
      <c r="CX80" s="372">
        <v>10256410.25</v>
      </c>
      <c r="CY80" s="374">
        <v>0</v>
      </c>
      <c r="CZ80" s="375">
        <f t="shared" si="59"/>
        <v>16956114.25</v>
      </c>
      <c r="DA80" s="370"/>
      <c r="DB80" s="370">
        <v>14102564.102564102</v>
      </c>
      <c r="DC80" s="370">
        <v>12820512.83</v>
      </c>
      <c r="DD80" s="372">
        <v>351374.04102564399</v>
      </c>
      <c r="DE80" s="374">
        <v>0</v>
      </c>
      <c r="DF80" s="375">
        <f t="shared" si="71"/>
        <v>27274450.973589744</v>
      </c>
      <c r="DG80" s="370"/>
      <c r="DH80" s="376">
        <f t="shared" si="60"/>
        <v>50000000</v>
      </c>
      <c r="DI80" s="376">
        <f t="shared" si="72"/>
        <v>44230565.223589748</v>
      </c>
      <c r="DJ80" s="370"/>
      <c r="DK80" s="370"/>
      <c r="DL80" s="377">
        <f t="shared" si="61"/>
        <v>50000000</v>
      </c>
      <c r="DM80" s="370">
        <f t="shared" si="62"/>
        <v>0</v>
      </c>
      <c r="DN80" s="370">
        <f t="shared" si="63"/>
        <v>50000000</v>
      </c>
      <c r="DO80" s="370">
        <f t="shared" si="64"/>
        <v>0</v>
      </c>
      <c r="DP80" s="370">
        <f t="shared" si="65"/>
        <v>0</v>
      </c>
      <c r="DQ80" s="378">
        <f t="shared" si="66"/>
        <v>44230565.223589748</v>
      </c>
      <c r="DR80" s="370">
        <f t="shared" si="67"/>
        <v>0</v>
      </c>
      <c r="DS80" s="370">
        <f t="shared" si="68"/>
        <v>0</v>
      </c>
      <c r="DT80" s="370">
        <f t="shared" si="69"/>
        <v>16956114.25</v>
      </c>
      <c r="DU80" s="370">
        <f t="shared" si="70"/>
        <v>27274450.973589744</v>
      </c>
      <c r="DW80" s="300">
        <v>409300</v>
      </c>
      <c r="DX80" s="300">
        <v>0</v>
      </c>
      <c r="DY80" s="300">
        <v>0</v>
      </c>
      <c r="DZ80" s="381">
        <f t="shared" si="73"/>
        <v>4500000</v>
      </c>
      <c r="EA80" s="382">
        <f>BE80+DZ80+49743500</f>
        <v>104243500</v>
      </c>
      <c r="EB80" s="614" t="s">
        <v>1040</v>
      </c>
      <c r="EC80" s="280" t="s">
        <v>1176</v>
      </c>
    </row>
    <row r="81" spans="1:133" ht="119.25" hidden="1" customHeight="1" thickTop="1" thickBot="1">
      <c r="A81" s="133"/>
      <c r="B81" s="411"/>
      <c r="C81" s="135"/>
      <c r="D81" s="135"/>
      <c r="E81" s="412" t="s">
        <v>114</v>
      </c>
      <c r="F81" s="347" t="s">
        <v>306</v>
      </c>
      <c r="G81" s="412" t="s">
        <v>495</v>
      </c>
      <c r="H81" s="347" t="s">
        <v>498</v>
      </c>
      <c r="I81" s="347"/>
      <c r="J81" s="32"/>
      <c r="K81" s="348" t="s">
        <v>506</v>
      </c>
      <c r="L81" s="40" t="s">
        <v>507</v>
      </c>
      <c r="M81" s="40" t="s">
        <v>677</v>
      </c>
      <c r="N81" s="349" t="s">
        <v>11</v>
      </c>
      <c r="O81" s="350">
        <v>19</v>
      </c>
      <c r="P81" s="40" t="s">
        <v>23</v>
      </c>
      <c r="Q81" s="32">
        <v>1903</v>
      </c>
      <c r="R81" s="32">
        <v>1903011</v>
      </c>
      <c r="S81" s="39" t="s">
        <v>24</v>
      </c>
      <c r="T81" s="39" t="s">
        <v>359</v>
      </c>
      <c r="U81" s="32">
        <v>190301100</v>
      </c>
      <c r="V81" s="39" t="s">
        <v>26</v>
      </c>
      <c r="W81" s="417"/>
      <c r="X81" s="418"/>
      <c r="Y81" s="417"/>
      <c r="Z81" s="417"/>
      <c r="AA81" s="417"/>
      <c r="AB81" s="417"/>
      <c r="AC81" s="417"/>
      <c r="AD81" s="417"/>
      <c r="AE81" s="417"/>
      <c r="AF81" s="417"/>
      <c r="AG81" s="417"/>
      <c r="AH81" s="356"/>
      <c r="AI81" s="458" t="s">
        <v>135</v>
      </c>
      <c r="AJ81" s="80"/>
      <c r="AK81" s="80"/>
      <c r="AL81" s="80"/>
      <c r="AM81" s="80"/>
      <c r="AN81" s="80"/>
      <c r="AO81" s="450"/>
      <c r="AP81" s="33">
        <f t="shared" si="75"/>
        <v>78</v>
      </c>
      <c r="AQ81" s="359"/>
      <c r="AR81" s="25">
        <v>0</v>
      </c>
      <c r="AS81" s="25">
        <v>11</v>
      </c>
      <c r="AT81" s="25">
        <v>33</v>
      </c>
      <c r="AU81" s="25">
        <v>34</v>
      </c>
      <c r="AV81" s="444" t="s">
        <v>678</v>
      </c>
      <c r="AW81" s="444" t="s">
        <v>922</v>
      </c>
      <c r="AX81" s="438" t="s">
        <v>927</v>
      </c>
      <c r="AY81" s="32">
        <v>565</v>
      </c>
      <c r="AZ81" s="39" t="s">
        <v>762</v>
      </c>
      <c r="BA81" s="40" t="s">
        <v>24</v>
      </c>
      <c r="BB81" s="440" t="s">
        <v>928</v>
      </c>
      <c r="BC81" s="453" t="s">
        <v>683</v>
      </c>
      <c r="BD81" s="399" t="s">
        <v>929</v>
      </c>
      <c r="BE81" s="420">
        <v>409300</v>
      </c>
      <c r="BF81" s="363" t="s">
        <v>866</v>
      </c>
      <c r="BG81" s="364" t="s">
        <v>925</v>
      </c>
      <c r="BH81" s="365" t="s">
        <v>926</v>
      </c>
      <c r="BI81" s="365"/>
      <c r="BJ81" s="26" t="s">
        <v>765</v>
      </c>
      <c r="BK81" s="26" t="s">
        <v>766</v>
      </c>
      <c r="BL81" s="359">
        <v>0</v>
      </c>
      <c r="BM81" s="359">
        <v>0</v>
      </c>
      <c r="BN81" s="359">
        <v>0</v>
      </c>
      <c r="BO81" s="366">
        <f>SUM(BL81:BN81)</f>
        <v>0</v>
      </c>
      <c r="BP81" s="367">
        <f>BO81/AP81</f>
        <v>0</v>
      </c>
      <c r="BQ81" s="359">
        <v>0</v>
      </c>
      <c r="BR81" s="359">
        <v>0</v>
      </c>
      <c r="BS81" s="359">
        <v>0</v>
      </c>
      <c r="BT81" s="366">
        <f>SUM(BQ81:BS81)</f>
        <v>0</v>
      </c>
      <c r="BU81" s="367">
        <f>BT81/AP81</f>
        <v>0</v>
      </c>
      <c r="BV81" s="359">
        <v>78</v>
      </c>
      <c r="BW81" s="359">
        <v>0</v>
      </c>
      <c r="BX81" s="359">
        <v>0</v>
      </c>
      <c r="BY81" s="366">
        <f>SUM(BV81:BX81)</f>
        <v>78</v>
      </c>
      <c r="BZ81" s="367">
        <f>BY81/AP81</f>
        <v>1</v>
      </c>
      <c r="CA81" s="359">
        <v>0</v>
      </c>
      <c r="CB81" s="359">
        <v>0</v>
      </c>
      <c r="CC81" s="359">
        <v>0</v>
      </c>
      <c r="CD81" s="366">
        <f>SUM(CA81:CC81)</f>
        <v>0</v>
      </c>
      <c r="CE81" s="367">
        <f>CD81/AU81</f>
        <v>0</v>
      </c>
      <c r="CF81" s="368">
        <f>BO81+BT81+BY81+CD81</f>
        <v>78</v>
      </c>
      <c r="CG81" s="359"/>
      <c r="CH81" s="369"/>
      <c r="CI81" s="369"/>
      <c r="CJ81" s="370">
        <v>0</v>
      </c>
      <c r="CK81" s="370">
        <v>0</v>
      </c>
      <c r="CL81" s="372">
        <v>0</v>
      </c>
      <c r="CM81" s="374">
        <v>0</v>
      </c>
      <c r="CN81" s="374">
        <f>SUM(CJ81:CL81)</f>
        <v>0</v>
      </c>
      <c r="CO81" s="370"/>
      <c r="CP81" s="370">
        <v>0</v>
      </c>
      <c r="CQ81" s="370">
        <v>0</v>
      </c>
      <c r="CR81" s="372">
        <v>0</v>
      </c>
      <c r="CS81" s="374">
        <v>409300</v>
      </c>
      <c r="CT81" s="375">
        <f>SUM(CP81:CR81)</f>
        <v>0</v>
      </c>
      <c r="CU81" s="370"/>
      <c r="CV81" s="370">
        <v>0</v>
      </c>
      <c r="CW81" s="454">
        <v>409300</v>
      </c>
      <c r="CX81" s="454">
        <v>0</v>
      </c>
      <c r="CY81" s="374">
        <v>0</v>
      </c>
      <c r="CZ81" s="375">
        <f>SUM(CV81:CX81)</f>
        <v>409300</v>
      </c>
      <c r="DA81" s="370"/>
      <c r="DB81" s="370">
        <v>0</v>
      </c>
      <c r="DC81" s="370">
        <v>0</v>
      </c>
      <c r="DD81" s="372">
        <v>0</v>
      </c>
      <c r="DE81" s="374">
        <v>0</v>
      </c>
      <c r="DF81" s="375">
        <f t="shared" si="71"/>
        <v>0</v>
      </c>
      <c r="DG81" s="370"/>
      <c r="DH81" s="376">
        <f t="shared" si="60"/>
        <v>409300</v>
      </c>
      <c r="DI81" s="376">
        <f t="shared" si="72"/>
        <v>409300</v>
      </c>
      <c r="DJ81" s="370"/>
      <c r="DK81" s="370"/>
      <c r="DL81" s="377">
        <f t="shared" si="61"/>
        <v>409300</v>
      </c>
      <c r="DM81" s="370">
        <f t="shared" si="62"/>
        <v>0</v>
      </c>
      <c r="DN81" s="370">
        <f t="shared" si="63"/>
        <v>409300</v>
      </c>
      <c r="DO81" s="370">
        <f t="shared" si="64"/>
        <v>0</v>
      </c>
      <c r="DP81" s="370">
        <f t="shared" si="65"/>
        <v>0</v>
      </c>
      <c r="DQ81" s="378">
        <f t="shared" si="66"/>
        <v>409300</v>
      </c>
      <c r="DR81" s="370">
        <f t="shared" si="67"/>
        <v>0</v>
      </c>
      <c r="DS81" s="370">
        <f t="shared" si="68"/>
        <v>0</v>
      </c>
      <c r="DT81" s="370">
        <f t="shared" si="69"/>
        <v>409300</v>
      </c>
      <c r="DU81" s="370">
        <f t="shared" si="70"/>
        <v>0</v>
      </c>
      <c r="DW81" s="300">
        <v>409300</v>
      </c>
      <c r="DX81" s="300">
        <v>0</v>
      </c>
      <c r="DY81" s="300">
        <v>0</v>
      </c>
      <c r="DZ81" s="381">
        <f t="shared" si="73"/>
        <v>36837</v>
      </c>
      <c r="EA81" s="382">
        <v>446137</v>
      </c>
      <c r="EB81" s="613" t="s">
        <v>1044</v>
      </c>
      <c r="EC81" s="280" t="s">
        <v>1176</v>
      </c>
    </row>
    <row r="82" spans="1:133" ht="115.5" hidden="1" customHeight="1" thickTop="1" thickBot="1">
      <c r="A82" s="133"/>
      <c r="B82" s="411"/>
      <c r="C82" s="135"/>
      <c r="D82" s="135"/>
      <c r="E82" s="412" t="s">
        <v>114</v>
      </c>
      <c r="F82" s="347" t="s">
        <v>306</v>
      </c>
      <c r="G82" s="412" t="s">
        <v>495</v>
      </c>
      <c r="H82" s="347" t="s">
        <v>498</v>
      </c>
      <c r="I82" s="347"/>
      <c r="J82" s="32"/>
      <c r="K82" s="348" t="s">
        <v>506</v>
      </c>
      <c r="L82" s="40" t="s">
        <v>507</v>
      </c>
      <c r="M82" s="40" t="s">
        <v>677</v>
      </c>
      <c r="N82" s="349" t="s">
        <v>11</v>
      </c>
      <c r="O82" s="350">
        <v>19</v>
      </c>
      <c r="P82" s="40" t="s">
        <v>23</v>
      </c>
      <c r="Q82" s="32">
        <v>1903</v>
      </c>
      <c r="R82" s="32">
        <v>1903011</v>
      </c>
      <c r="S82" s="39" t="s">
        <v>24</v>
      </c>
      <c r="T82" s="39" t="s">
        <v>359</v>
      </c>
      <c r="U82" s="32">
        <v>190301100</v>
      </c>
      <c r="V82" s="39" t="s">
        <v>26</v>
      </c>
      <c r="W82" s="417"/>
      <c r="X82" s="418"/>
      <c r="Y82" s="417"/>
      <c r="Z82" s="417"/>
      <c r="AA82" s="417"/>
      <c r="AB82" s="417"/>
      <c r="AC82" s="417"/>
      <c r="AD82" s="417"/>
      <c r="AE82" s="417"/>
      <c r="AF82" s="417"/>
      <c r="AG82" s="417"/>
      <c r="AH82" s="356"/>
      <c r="AI82" s="452" t="s">
        <v>136</v>
      </c>
      <c r="AJ82" s="80"/>
      <c r="AK82" s="80"/>
      <c r="AL82" s="80"/>
      <c r="AM82" s="80"/>
      <c r="AN82" s="80"/>
      <c r="AO82" s="450"/>
      <c r="AP82" s="33">
        <f t="shared" si="75"/>
        <v>1833</v>
      </c>
      <c r="AQ82" s="359"/>
      <c r="AR82" s="25">
        <v>0</v>
      </c>
      <c r="AS82" s="25">
        <v>261</v>
      </c>
      <c r="AT82" s="25">
        <f>261*3</f>
        <v>783</v>
      </c>
      <c r="AU82" s="25">
        <f>261*3+6</f>
        <v>789</v>
      </c>
      <c r="AV82" s="444" t="s">
        <v>678</v>
      </c>
      <c r="AW82" s="444" t="s">
        <v>922</v>
      </c>
      <c r="AX82" s="24" t="s">
        <v>927</v>
      </c>
      <c r="AY82" s="32">
        <v>565</v>
      </c>
      <c r="AZ82" s="39" t="s">
        <v>762</v>
      </c>
      <c r="BA82" s="40" t="s">
        <v>24</v>
      </c>
      <c r="BB82" s="440" t="s">
        <v>928</v>
      </c>
      <c r="BC82" s="453" t="s">
        <v>683</v>
      </c>
      <c r="BD82" s="399" t="s">
        <v>929</v>
      </c>
      <c r="BE82" s="420">
        <v>95740700</v>
      </c>
      <c r="BF82" s="363" t="s">
        <v>866</v>
      </c>
      <c r="BG82" s="364" t="s">
        <v>925</v>
      </c>
      <c r="BH82" s="365" t="s">
        <v>926</v>
      </c>
      <c r="BI82" s="365"/>
      <c r="BJ82" s="26" t="s">
        <v>765</v>
      </c>
      <c r="BK82" s="26" t="s">
        <v>766</v>
      </c>
      <c r="BL82" s="359">
        <v>0</v>
      </c>
      <c r="BM82" s="359">
        <v>0</v>
      </c>
      <c r="BN82" s="359">
        <v>0</v>
      </c>
      <c r="BO82" s="366">
        <f t="shared" si="48"/>
        <v>0</v>
      </c>
      <c r="BP82" s="367">
        <f t="shared" si="49"/>
        <v>0</v>
      </c>
      <c r="BQ82" s="359">
        <v>0</v>
      </c>
      <c r="BR82" s="359">
        <v>0</v>
      </c>
      <c r="BS82" s="359">
        <v>0</v>
      </c>
      <c r="BT82" s="366">
        <f t="shared" si="50"/>
        <v>0</v>
      </c>
      <c r="BU82" s="367">
        <f t="shared" si="51"/>
        <v>0</v>
      </c>
      <c r="BV82" s="457">
        <v>353</v>
      </c>
      <c r="BW82" s="359">
        <v>343</v>
      </c>
      <c r="BX82" s="359">
        <v>0</v>
      </c>
      <c r="BY82" s="366">
        <f t="shared" si="52"/>
        <v>696</v>
      </c>
      <c r="BZ82" s="367">
        <f t="shared" si="53"/>
        <v>0.37970540098199673</v>
      </c>
      <c r="CA82" s="359">
        <v>0</v>
      </c>
      <c r="CB82" s="359">
        <v>0</v>
      </c>
      <c r="CC82" s="359">
        <v>0</v>
      </c>
      <c r="CD82" s="366">
        <f t="shared" si="54"/>
        <v>0</v>
      </c>
      <c r="CE82" s="367">
        <f t="shared" si="55"/>
        <v>0</v>
      </c>
      <c r="CF82" s="368">
        <f t="shared" si="56"/>
        <v>696</v>
      </c>
      <c r="CG82" s="359"/>
      <c r="CH82" s="369"/>
      <c r="CI82" s="369"/>
      <c r="CJ82" s="370">
        <v>0</v>
      </c>
      <c r="CK82" s="370">
        <v>0</v>
      </c>
      <c r="CL82" s="372">
        <v>0</v>
      </c>
      <c r="CM82" s="374">
        <v>0</v>
      </c>
      <c r="CN82" s="374">
        <f t="shared" si="57"/>
        <v>0</v>
      </c>
      <c r="CO82" s="370"/>
      <c r="CP82" s="370">
        <v>0</v>
      </c>
      <c r="CQ82" s="370">
        <v>0</v>
      </c>
      <c r="CR82" s="372">
        <v>0</v>
      </c>
      <c r="CS82" s="374">
        <v>95740700</v>
      </c>
      <c r="CT82" s="375">
        <f t="shared" si="58"/>
        <v>0</v>
      </c>
      <c r="CU82" s="370"/>
      <c r="CV82" s="370">
        <v>0</v>
      </c>
      <c r="CW82" s="454">
        <v>18437789</v>
      </c>
      <c r="CX82" s="455">
        <v>17915471.958537918</v>
      </c>
      <c r="CY82" s="374">
        <v>0</v>
      </c>
      <c r="CZ82" s="375">
        <f t="shared" si="59"/>
        <v>36353260.958537921</v>
      </c>
      <c r="DA82" s="370"/>
      <c r="DB82" s="370">
        <v>17706545.171849426</v>
      </c>
      <c r="DC82" s="370">
        <v>17654313.475177307</v>
      </c>
      <c r="DD82" s="372">
        <v>6372266.9192580283</v>
      </c>
      <c r="DE82" s="374">
        <v>0</v>
      </c>
      <c r="DF82" s="375">
        <f t="shared" si="71"/>
        <v>41733125.566284761</v>
      </c>
      <c r="DG82" s="370"/>
      <c r="DH82" s="376">
        <f t="shared" si="60"/>
        <v>95740700</v>
      </c>
      <c r="DI82" s="376">
        <f t="shared" si="72"/>
        <v>78086386.524822682</v>
      </c>
      <c r="DJ82" s="370"/>
      <c r="DK82" s="370"/>
      <c r="DL82" s="377">
        <f t="shared" si="61"/>
        <v>95740700</v>
      </c>
      <c r="DM82" s="370">
        <f t="shared" si="62"/>
        <v>0</v>
      </c>
      <c r="DN82" s="370">
        <f t="shared" si="63"/>
        <v>95740700</v>
      </c>
      <c r="DO82" s="370">
        <f t="shared" si="64"/>
        <v>0</v>
      </c>
      <c r="DP82" s="370">
        <f t="shared" si="65"/>
        <v>0</v>
      </c>
      <c r="DQ82" s="378">
        <f t="shared" si="66"/>
        <v>78086386.524822682</v>
      </c>
      <c r="DR82" s="370">
        <f t="shared" si="67"/>
        <v>0</v>
      </c>
      <c r="DS82" s="370">
        <f t="shared" si="68"/>
        <v>0</v>
      </c>
      <c r="DT82" s="370">
        <f t="shared" si="69"/>
        <v>36353260.958537921</v>
      </c>
      <c r="DU82" s="370">
        <f t="shared" si="70"/>
        <v>41733125.566284761</v>
      </c>
      <c r="DW82" s="300">
        <v>18437789</v>
      </c>
      <c r="DX82" s="300">
        <v>17915471.958537918</v>
      </c>
      <c r="DY82" s="300">
        <v>0</v>
      </c>
      <c r="DZ82" s="381">
        <f t="shared" si="73"/>
        <v>8616663</v>
      </c>
      <c r="EA82" s="382">
        <v>104357363</v>
      </c>
      <c r="EB82" s="613" t="s">
        <v>1044</v>
      </c>
      <c r="EC82" s="280" t="s">
        <v>1176</v>
      </c>
    </row>
    <row r="83" spans="1:133" ht="125.25" hidden="1" customHeight="1" thickTop="1" thickBot="1">
      <c r="A83" s="133"/>
      <c r="B83" s="411"/>
      <c r="C83" s="135"/>
      <c r="D83" s="135"/>
      <c r="E83" s="412" t="s">
        <v>114</v>
      </c>
      <c r="F83" s="347" t="s">
        <v>306</v>
      </c>
      <c r="G83" s="412" t="s">
        <v>495</v>
      </c>
      <c r="H83" s="347" t="s">
        <v>498</v>
      </c>
      <c r="I83" s="347"/>
      <c r="J83" s="32"/>
      <c r="K83" s="348" t="s">
        <v>506</v>
      </c>
      <c r="L83" s="40" t="s">
        <v>507</v>
      </c>
      <c r="M83" s="40" t="s">
        <v>677</v>
      </c>
      <c r="N83" s="349" t="s">
        <v>11</v>
      </c>
      <c r="O83" s="350">
        <v>19</v>
      </c>
      <c r="P83" s="40" t="s">
        <v>23</v>
      </c>
      <c r="Q83" s="32">
        <v>1903</v>
      </c>
      <c r="R83" s="32">
        <v>1903011</v>
      </c>
      <c r="S83" s="39" t="s">
        <v>24</v>
      </c>
      <c r="T83" s="39" t="s">
        <v>359</v>
      </c>
      <c r="U83" s="32">
        <v>190301100</v>
      </c>
      <c r="V83" s="39" t="s">
        <v>26</v>
      </c>
      <c r="W83" s="417"/>
      <c r="X83" s="418"/>
      <c r="Y83" s="417"/>
      <c r="Z83" s="417"/>
      <c r="AA83" s="417"/>
      <c r="AB83" s="417"/>
      <c r="AC83" s="417"/>
      <c r="AD83" s="417"/>
      <c r="AE83" s="417"/>
      <c r="AF83" s="417"/>
      <c r="AG83" s="417"/>
      <c r="AH83" s="356"/>
      <c r="AI83" s="452" t="s">
        <v>137</v>
      </c>
      <c r="AJ83" s="80"/>
      <c r="AK83" s="80"/>
      <c r="AL83" s="80"/>
      <c r="AM83" s="80"/>
      <c r="AN83" s="80"/>
      <c r="AO83" s="450"/>
      <c r="AP83" s="33">
        <f t="shared" si="75"/>
        <v>2402</v>
      </c>
      <c r="AQ83" s="359"/>
      <c r="AR83" s="25">
        <v>0</v>
      </c>
      <c r="AS83" s="25">
        <v>343</v>
      </c>
      <c r="AT83" s="25">
        <f>343*3</f>
        <v>1029</v>
      </c>
      <c r="AU83" s="25">
        <f>343*3+1</f>
        <v>1030</v>
      </c>
      <c r="AV83" s="444" t="s">
        <v>678</v>
      </c>
      <c r="AW83" s="444" t="s">
        <v>922</v>
      </c>
      <c r="AX83" s="24" t="s">
        <v>927</v>
      </c>
      <c r="AY83" s="32">
        <v>565</v>
      </c>
      <c r="AZ83" s="39" t="s">
        <v>762</v>
      </c>
      <c r="BA83" s="40" t="s">
        <v>24</v>
      </c>
      <c r="BB83" s="440" t="s">
        <v>928</v>
      </c>
      <c r="BC83" s="453" t="s">
        <v>683</v>
      </c>
      <c r="BD83" s="399" t="s">
        <v>929</v>
      </c>
      <c r="BE83" s="420">
        <v>116000000</v>
      </c>
      <c r="BF83" s="363" t="s">
        <v>866</v>
      </c>
      <c r="BG83" s="364" t="s">
        <v>925</v>
      </c>
      <c r="BH83" s="365" t="s">
        <v>926</v>
      </c>
      <c r="BI83" s="365"/>
      <c r="BJ83" s="26" t="s">
        <v>765</v>
      </c>
      <c r="BK83" s="26" t="s">
        <v>766</v>
      </c>
      <c r="BL83" s="359">
        <v>0</v>
      </c>
      <c r="BM83" s="359">
        <v>0</v>
      </c>
      <c r="BN83" s="359">
        <v>0</v>
      </c>
      <c r="BO83" s="366">
        <f t="shared" si="48"/>
        <v>0</v>
      </c>
      <c r="BP83" s="367">
        <f t="shared" si="49"/>
        <v>0</v>
      </c>
      <c r="BQ83" s="359">
        <v>0</v>
      </c>
      <c r="BR83" s="359">
        <v>0</v>
      </c>
      <c r="BS83" s="359">
        <v>0</v>
      </c>
      <c r="BT83" s="366">
        <f t="shared" si="50"/>
        <v>0</v>
      </c>
      <c r="BU83" s="367">
        <f t="shared" si="51"/>
        <v>0</v>
      </c>
      <c r="BV83" s="457">
        <v>142</v>
      </c>
      <c r="BW83" s="359">
        <v>510</v>
      </c>
      <c r="BX83" s="359">
        <v>0</v>
      </c>
      <c r="BY83" s="366">
        <f t="shared" si="52"/>
        <v>652</v>
      </c>
      <c r="BZ83" s="367">
        <f t="shared" si="53"/>
        <v>0.27144046627810159</v>
      </c>
      <c r="CA83" s="359">
        <v>0</v>
      </c>
      <c r="CB83" s="359">
        <v>0</v>
      </c>
      <c r="CC83" s="359">
        <v>0</v>
      </c>
      <c r="CD83" s="366">
        <f t="shared" si="54"/>
        <v>0</v>
      </c>
      <c r="CE83" s="367">
        <f t="shared" si="55"/>
        <v>0</v>
      </c>
      <c r="CF83" s="368">
        <f t="shared" si="56"/>
        <v>652</v>
      </c>
      <c r="CG83" s="359"/>
      <c r="CH83" s="369"/>
      <c r="CI83" s="369"/>
      <c r="CJ83" s="370">
        <v>0</v>
      </c>
      <c r="CK83" s="370">
        <v>0</v>
      </c>
      <c r="CL83" s="372">
        <v>0</v>
      </c>
      <c r="CM83" s="374">
        <v>0</v>
      </c>
      <c r="CN83" s="374">
        <f t="shared" si="57"/>
        <v>0</v>
      </c>
      <c r="CO83" s="370"/>
      <c r="CP83" s="370">
        <v>0</v>
      </c>
      <c r="CQ83" s="370">
        <v>0</v>
      </c>
      <c r="CR83" s="372">
        <v>0</v>
      </c>
      <c r="CS83" s="374">
        <v>116000000</v>
      </c>
      <c r="CT83" s="375">
        <f t="shared" si="58"/>
        <v>0</v>
      </c>
      <c r="CU83" s="370"/>
      <c r="CV83" s="370">
        <v>0</v>
      </c>
      <c r="CW83" s="454">
        <v>6857619</v>
      </c>
      <c r="CX83" s="455">
        <v>24629475.437135722</v>
      </c>
      <c r="CY83" s="374">
        <v>0</v>
      </c>
      <c r="CZ83" s="375">
        <f t="shared" si="59"/>
        <v>31487094.437135722</v>
      </c>
      <c r="DA83" s="370"/>
      <c r="DB83" s="370">
        <v>24629475.437135722</v>
      </c>
      <c r="DC83" s="370">
        <v>24146544.546211492</v>
      </c>
      <c r="DD83" s="372">
        <v>11445461.766028315</v>
      </c>
      <c r="DE83" s="374">
        <v>0</v>
      </c>
      <c r="DF83" s="375">
        <f t="shared" si="71"/>
        <v>60221481.74937553</v>
      </c>
      <c r="DG83" s="370"/>
      <c r="DH83" s="376">
        <f t="shared" si="60"/>
        <v>116000000</v>
      </c>
      <c r="DI83" s="376">
        <f t="shared" si="72"/>
        <v>91708576.186511248</v>
      </c>
      <c r="DJ83" s="370"/>
      <c r="DK83" s="370"/>
      <c r="DL83" s="377">
        <f t="shared" si="61"/>
        <v>116000000</v>
      </c>
      <c r="DM83" s="370">
        <f t="shared" si="62"/>
        <v>0</v>
      </c>
      <c r="DN83" s="370">
        <f t="shared" si="63"/>
        <v>116000000</v>
      </c>
      <c r="DO83" s="370">
        <f t="shared" si="64"/>
        <v>0</v>
      </c>
      <c r="DP83" s="370">
        <f t="shared" si="65"/>
        <v>0</v>
      </c>
      <c r="DQ83" s="378">
        <f t="shared" si="66"/>
        <v>91708576.186511248</v>
      </c>
      <c r="DR83" s="370">
        <f t="shared" si="67"/>
        <v>0</v>
      </c>
      <c r="DS83" s="370">
        <f t="shared" si="68"/>
        <v>0</v>
      </c>
      <c r="DT83" s="370">
        <f t="shared" si="69"/>
        <v>31487094.437135722</v>
      </c>
      <c r="DU83" s="370">
        <f t="shared" si="70"/>
        <v>60221481.74937553</v>
      </c>
      <c r="DW83" s="300">
        <v>6857619</v>
      </c>
      <c r="DX83" s="300">
        <v>24629475.437135722</v>
      </c>
      <c r="DY83" s="300">
        <v>0</v>
      </c>
      <c r="DZ83" s="381">
        <f t="shared" si="73"/>
        <v>10440000</v>
      </c>
      <c r="EA83" s="382">
        <v>95196500</v>
      </c>
      <c r="EB83" s="613" t="s">
        <v>1044</v>
      </c>
      <c r="EC83" s="280" t="s">
        <v>1176</v>
      </c>
    </row>
    <row r="84" spans="1:133" ht="178.5" hidden="1" customHeight="1" thickTop="1" thickBot="1">
      <c r="A84" s="133">
        <v>1</v>
      </c>
      <c r="B84" s="411" t="s">
        <v>6</v>
      </c>
      <c r="C84" s="135" t="s">
        <v>304</v>
      </c>
      <c r="D84" s="135" t="s">
        <v>305</v>
      </c>
      <c r="E84" s="412" t="s">
        <v>114</v>
      </c>
      <c r="F84" s="347" t="s">
        <v>306</v>
      </c>
      <c r="G84" s="412" t="s">
        <v>495</v>
      </c>
      <c r="H84" s="347" t="s">
        <v>498</v>
      </c>
      <c r="I84" s="347" t="s">
        <v>913</v>
      </c>
      <c r="J84" s="32">
        <v>49</v>
      </c>
      <c r="K84" s="348" t="s">
        <v>511</v>
      </c>
      <c r="L84" s="40" t="s">
        <v>507</v>
      </c>
      <c r="M84" s="40" t="s">
        <v>677</v>
      </c>
      <c r="N84" s="349" t="s">
        <v>11</v>
      </c>
      <c r="O84" s="350">
        <v>19</v>
      </c>
      <c r="P84" s="40" t="s">
        <v>23</v>
      </c>
      <c r="Q84" s="32">
        <v>1903</v>
      </c>
      <c r="R84" s="32">
        <v>1903016</v>
      </c>
      <c r="S84" s="39" t="s">
        <v>29</v>
      </c>
      <c r="T84" s="39" t="s">
        <v>359</v>
      </c>
      <c r="U84" s="32">
        <v>190301600</v>
      </c>
      <c r="V84" s="39" t="s">
        <v>30</v>
      </c>
      <c r="W84" s="417" t="s">
        <v>316</v>
      </c>
      <c r="X84" s="417"/>
      <c r="Y84" s="417"/>
      <c r="Z84" s="417"/>
      <c r="AA84" s="417"/>
      <c r="AB84" s="417"/>
      <c r="AC84" s="417"/>
      <c r="AD84" s="417"/>
      <c r="AE84" s="417"/>
      <c r="AF84" s="417"/>
      <c r="AG84" s="417"/>
      <c r="AH84" s="356">
        <f t="shared" si="40"/>
        <v>0</v>
      </c>
      <c r="AI84" s="357" t="s">
        <v>143</v>
      </c>
      <c r="AJ84" s="80" t="s">
        <v>759</v>
      </c>
      <c r="AK84" s="80">
        <v>1</v>
      </c>
      <c r="AL84" s="80">
        <v>1</v>
      </c>
      <c r="AM84" s="80">
        <v>1</v>
      </c>
      <c r="AN84" s="80">
        <v>1</v>
      </c>
      <c r="AO84" s="358">
        <v>1</v>
      </c>
      <c r="AP84" s="33">
        <f>AR84+AS84+AT84+AU84</f>
        <v>100</v>
      </c>
      <c r="AQ84" s="359" t="s">
        <v>707</v>
      </c>
      <c r="AR84" s="25">
        <v>0</v>
      </c>
      <c r="AS84" s="25">
        <v>0</v>
      </c>
      <c r="AT84" s="25">
        <v>40</v>
      </c>
      <c r="AU84" s="25">
        <v>60</v>
      </c>
      <c r="AV84" s="39" t="s">
        <v>678</v>
      </c>
      <c r="AW84" s="39" t="s">
        <v>745</v>
      </c>
      <c r="AX84" s="39" t="s">
        <v>935</v>
      </c>
      <c r="AY84" s="25">
        <v>367</v>
      </c>
      <c r="AZ84" s="39" t="s">
        <v>762</v>
      </c>
      <c r="BA84" s="40" t="s">
        <v>29</v>
      </c>
      <c r="BB84" s="360" t="s">
        <v>730</v>
      </c>
      <c r="BC84" s="453" t="s">
        <v>683</v>
      </c>
      <c r="BD84" s="84" t="s">
        <v>731</v>
      </c>
      <c r="BE84" s="459">
        <v>25200000</v>
      </c>
      <c r="BF84" s="363" t="s">
        <v>936</v>
      </c>
      <c r="BG84" s="364" t="s">
        <v>919</v>
      </c>
      <c r="BH84" s="365" t="s">
        <v>920</v>
      </c>
      <c r="BI84" s="365"/>
      <c r="BJ84" s="26" t="s">
        <v>765</v>
      </c>
      <c r="BK84" s="26" t="s">
        <v>766</v>
      </c>
      <c r="BL84" s="359">
        <v>0</v>
      </c>
      <c r="BM84" s="359">
        <v>0</v>
      </c>
      <c r="BN84" s="359">
        <v>0</v>
      </c>
      <c r="BO84" s="366">
        <f t="shared" si="48"/>
        <v>0</v>
      </c>
      <c r="BP84" s="367">
        <f t="shared" si="49"/>
        <v>0</v>
      </c>
      <c r="BQ84" s="359">
        <v>0</v>
      </c>
      <c r="BR84" s="359">
        <v>0</v>
      </c>
      <c r="BS84" s="359">
        <v>15</v>
      </c>
      <c r="BT84" s="366">
        <f t="shared" si="50"/>
        <v>15</v>
      </c>
      <c r="BU84" s="367">
        <f t="shared" si="51"/>
        <v>0.15</v>
      </c>
      <c r="BV84" s="359">
        <v>15</v>
      </c>
      <c r="BW84" s="359">
        <v>15</v>
      </c>
      <c r="BX84" s="359">
        <v>15</v>
      </c>
      <c r="BY84" s="366">
        <f t="shared" si="52"/>
        <v>45</v>
      </c>
      <c r="BZ84" s="367">
        <f t="shared" si="53"/>
        <v>0.45</v>
      </c>
      <c r="CA84" s="359">
        <v>0</v>
      </c>
      <c r="CB84" s="359">
        <v>0</v>
      </c>
      <c r="CC84" s="359">
        <v>0</v>
      </c>
      <c r="CD84" s="366">
        <f t="shared" si="54"/>
        <v>0</v>
      </c>
      <c r="CE84" s="367">
        <f t="shared" si="55"/>
        <v>0</v>
      </c>
      <c r="CF84" s="368">
        <f t="shared" si="56"/>
        <v>60</v>
      </c>
      <c r="CG84" s="359">
        <f t="shared" si="41"/>
        <v>0.6</v>
      </c>
      <c r="CH84" s="369"/>
      <c r="CI84" s="369"/>
      <c r="CJ84" s="370">
        <v>0</v>
      </c>
      <c r="CK84" s="370">
        <v>0</v>
      </c>
      <c r="CL84" s="372">
        <v>0</v>
      </c>
      <c r="CM84" s="374">
        <v>0</v>
      </c>
      <c r="CN84" s="374">
        <f t="shared" si="57"/>
        <v>0</v>
      </c>
      <c r="CO84" s="370">
        <f t="shared" si="42"/>
        <v>0</v>
      </c>
      <c r="CP84" s="370">
        <v>0</v>
      </c>
      <c r="CQ84" s="370">
        <v>0</v>
      </c>
      <c r="CR84" s="372">
        <v>0</v>
      </c>
      <c r="CS84" s="374">
        <v>23625000</v>
      </c>
      <c r="CT84" s="375">
        <f t="shared" si="58"/>
        <v>0</v>
      </c>
      <c r="CU84" s="370">
        <f t="shared" si="43"/>
        <v>0</v>
      </c>
      <c r="CV84" s="370">
        <v>3296000</v>
      </c>
      <c r="CW84" s="370">
        <v>3296000</v>
      </c>
      <c r="CX84" s="370">
        <v>3296000</v>
      </c>
      <c r="CY84" s="374">
        <v>0</v>
      </c>
      <c r="CZ84" s="375">
        <f t="shared" si="59"/>
        <v>9888000</v>
      </c>
      <c r="DA84" s="370">
        <f t="shared" si="44"/>
        <v>0.39238095238095239</v>
      </c>
      <c r="DB84" s="370">
        <v>3296000</v>
      </c>
      <c r="DC84" s="370">
        <v>3296000</v>
      </c>
      <c r="DD84" s="370">
        <v>3296000</v>
      </c>
      <c r="DE84" s="374">
        <v>1575000</v>
      </c>
      <c r="DF84" s="375">
        <f t="shared" si="71"/>
        <v>9888000</v>
      </c>
      <c r="DG84" s="370">
        <f t="shared" si="45"/>
        <v>0.39238095238095239</v>
      </c>
      <c r="DH84" s="376">
        <f>$CM84+$CS84+$CY84+$DE84</f>
        <v>25200000</v>
      </c>
      <c r="DI84" s="376">
        <f t="shared" si="72"/>
        <v>19776000</v>
      </c>
      <c r="DJ84" s="370">
        <f t="shared" si="46"/>
        <v>1</v>
      </c>
      <c r="DK84" s="370"/>
      <c r="DL84" s="377">
        <f t="shared" si="61"/>
        <v>25200000</v>
      </c>
      <c r="DM84" s="370">
        <f t="shared" si="62"/>
        <v>0</v>
      </c>
      <c r="DN84" s="370">
        <f t="shared" si="63"/>
        <v>23625000</v>
      </c>
      <c r="DO84" s="370">
        <f t="shared" si="64"/>
        <v>0</v>
      </c>
      <c r="DP84" s="370">
        <f t="shared" si="65"/>
        <v>1575000</v>
      </c>
      <c r="DQ84" s="378">
        <f t="shared" si="66"/>
        <v>19776000</v>
      </c>
      <c r="DR84" s="370">
        <f t="shared" si="67"/>
        <v>0</v>
      </c>
      <c r="DS84" s="370">
        <f t="shared" si="68"/>
        <v>0</v>
      </c>
      <c r="DT84" s="370">
        <f t="shared" si="69"/>
        <v>9888000</v>
      </c>
      <c r="DU84" s="370">
        <f t="shared" si="70"/>
        <v>9888000</v>
      </c>
      <c r="DV84" s="431">
        <f>BE84-DH84</f>
        <v>0</v>
      </c>
      <c r="DW84" s="300">
        <v>0</v>
      </c>
      <c r="DX84" s="300">
        <v>0</v>
      </c>
      <c r="DY84" s="300">
        <v>0</v>
      </c>
      <c r="DZ84" s="381">
        <f t="shared" si="73"/>
        <v>2268000</v>
      </c>
      <c r="EA84" s="382">
        <f t="shared" si="74"/>
        <v>27468000</v>
      </c>
      <c r="EB84" s="608"/>
    </row>
    <row r="85" spans="1:133" ht="183" hidden="1" customHeight="1" thickTop="1" thickBot="1">
      <c r="A85" s="133">
        <v>1</v>
      </c>
      <c r="B85" s="411" t="s">
        <v>6</v>
      </c>
      <c r="C85" s="135" t="s">
        <v>304</v>
      </c>
      <c r="D85" s="135" t="s">
        <v>305</v>
      </c>
      <c r="E85" s="412" t="s">
        <v>114</v>
      </c>
      <c r="F85" s="347" t="s">
        <v>306</v>
      </c>
      <c r="G85" s="412" t="s">
        <v>495</v>
      </c>
      <c r="H85" s="347" t="s">
        <v>498</v>
      </c>
      <c r="I85" s="347" t="s">
        <v>913</v>
      </c>
      <c r="J85" s="32">
        <v>50</v>
      </c>
      <c r="K85" s="348" t="s">
        <v>511</v>
      </c>
      <c r="L85" s="40" t="s">
        <v>937</v>
      </c>
      <c r="M85" s="40" t="s">
        <v>677</v>
      </c>
      <c r="N85" s="349" t="s">
        <v>11</v>
      </c>
      <c r="O85" s="350">
        <v>19</v>
      </c>
      <c r="P85" s="40" t="s">
        <v>23</v>
      </c>
      <c r="Q85" s="32">
        <v>1903</v>
      </c>
      <c r="R85" s="32">
        <v>1903016</v>
      </c>
      <c r="S85" s="39" t="s">
        <v>29</v>
      </c>
      <c r="T85" s="39" t="s">
        <v>513</v>
      </c>
      <c r="U85" s="32">
        <v>190301600</v>
      </c>
      <c r="V85" s="39" t="s">
        <v>30</v>
      </c>
      <c r="W85" s="417" t="s">
        <v>316</v>
      </c>
      <c r="X85" s="417"/>
      <c r="Y85" s="417"/>
      <c r="Z85" s="417"/>
      <c r="AA85" s="417"/>
      <c r="AB85" s="417"/>
      <c r="AC85" s="417"/>
      <c r="AD85" s="417"/>
      <c r="AE85" s="417"/>
      <c r="AF85" s="417"/>
      <c r="AG85" s="417"/>
      <c r="AH85" s="356">
        <f t="shared" si="40"/>
        <v>0</v>
      </c>
      <c r="AI85" s="357" t="s">
        <v>144</v>
      </c>
      <c r="AJ85" s="80">
        <v>1</v>
      </c>
      <c r="AK85" s="80">
        <v>1</v>
      </c>
      <c r="AL85" s="80">
        <v>1</v>
      </c>
      <c r="AM85" s="80">
        <v>1</v>
      </c>
      <c r="AN85" s="80">
        <v>1</v>
      </c>
      <c r="AO85" s="358">
        <v>1</v>
      </c>
      <c r="AP85" s="33">
        <f t="shared" si="47"/>
        <v>1</v>
      </c>
      <c r="AQ85" s="359" t="s">
        <v>316</v>
      </c>
      <c r="AR85" s="25">
        <v>0</v>
      </c>
      <c r="AS85" s="25">
        <v>0</v>
      </c>
      <c r="AT85" s="25">
        <v>0</v>
      </c>
      <c r="AU85" s="25">
        <v>1</v>
      </c>
      <c r="AV85" s="39" t="s">
        <v>678</v>
      </c>
      <c r="AW85" s="39" t="s">
        <v>938</v>
      </c>
      <c r="AX85" s="39" t="s">
        <v>935</v>
      </c>
      <c r="AY85" s="25">
        <v>367</v>
      </c>
      <c r="AZ85" s="39" t="s">
        <v>762</v>
      </c>
      <c r="BA85" s="40" t="s">
        <v>29</v>
      </c>
      <c r="BB85" s="360" t="s">
        <v>730</v>
      </c>
      <c r="BC85" s="453" t="s">
        <v>683</v>
      </c>
      <c r="BD85" s="84" t="s">
        <v>731</v>
      </c>
      <c r="BE85" s="402">
        <v>34123798</v>
      </c>
      <c r="BF85" s="363" t="s">
        <v>939</v>
      </c>
      <c r="BG85" s="364" t="s">
        <v>919</v>
      </c>
      <c r="BH85" s="365" t="s">
        <v>920</v>
      </c>
      <c r="BI85" s="365"/>
      <c r="BJ85" s="26" t="s">
        <v>765</v>
      </c>
      <c r="BK85" s="26" t="s">
        <v>766</v>
      </c>
      <c r="BL85" s="359">
        <v>0</v>
      </c>
      <c r="BM85" s="359">
        <v>0</v>
      </c>
      <c r="BN85" s="359">
        <v>0</v>
      </c>
      <c r="BO85" s="366">
        <f t="shared" si="48"/>
        <v>0</v>
      </c>
      <c r="BP85" s="367">
        <f t="shared" si="49"/>
        <v>0</v>
      </c>
      <c r="BQ85" s="359">
        <v>0</v>
      </c>
      <c r="BR85" s="415">
        <v>0.125</v>
      </c>
      <c r="BS85" s="415">
        <v>0.125</v>
      </c>
      <c r="BT85" s="366">
        <f t="shared" si="50"/>
        <v>0.25</v>
      </c>
      <c r="BU85" s="367">
        <f t="shared" si="51"/>
        <v>0.25</v>
      </c>
      <c r="BV85" s="359">
        <v>0.125</v>
      </c>
      <c r="BW85" s="359">
        <v>0.125</v>
      </c>
      <c r="BX85" s="359">
        <v>0.125</v>
      </c>
      <c r="BY85" s="366">
        <f t="shared" si="52"/>
        <v>0.375</v>
      </c>
      <c r="BZ85" s="367">
        <f t="shared" si="53"/>
        <v>0.375</v>
      </c>
      <c r="CA85" s="359">
        <v>0</v>
      </c>
      <c r="CB85" s="359">
        <v>0</v>
      </c>
      <c r="CC85" s="359">
        <v>0</v>
      </c>
      <c r="CD85" s="366">
        <f t="shared" si="54"/>
        <v>0</v>
      </c>
      <c r="CE85" s="367">
        <f t="shared" si="55"/>
        <v>0</v>
      </c>
      <c r="CF85" s="368">
        <f t="shared" si="56"/>
        <v>0.625</v>
      </c>
      <c r="CG85" s="359">
        <f t="shared" si="41"/>
        <v>0.625</v>
      </c>
      <c r="CH85" s="369"/>
      <c r="CI85" s="369"/>
      <c r="CJ85" s="370">
        <v>0</v>
      </c>
      <c r="CK85" s="370">
        <v>0</v>
      </c>
      <c r="CL85" s="372">
        <v>0</v>
      </c>
      <c r="CM85" s="374">
        <v>0</v>
      </c>
      <c r="CN85" s="374">
        <f t="shared" si="57"/>
        <v>0</v>
      </c>
      <c r="CO85" s="370">
        <f t="shared" si="42"/>
        <v>0</v>
      </c>
      <c r="CP85" s="370">
        <v>0</v>
      </c>
      <c r="CQ85" s="370">
        <v>0</v>
      </c>
      <c r="CR85" s="372">
        <v>4265474</v>
      </c>
      <c r="CS85" s="374">
        <v>34123798</v>
      </c>
      <c r="CT85" s="375">
        <f t="shared" si="58"/>
        <v>4265474</v>
      </c>
      <c r="CU85" s="370">
        <f t="shared" si="43"/>
        <v>0.12499997802120386</v>
      </c>
      <c r="CV85" s="372">
        <v>4265474</v>
      </c>
      <c r="CW85" s="372">
        <v>4265474</v>
      </c>
      <c r="CX85" s="372">
        <v>4265474</v>
      </c>
      <c r="CY85" s="374">
        <v>0</v>
      </c>
      <c r="CZ85" s="375">
        <f t="shared" si="59"/>
        <v>12796422</v>
      </c>
      <c r="DA85" s="370">
        <f t="shared" si="44"/>
        <v>0.37499993406361154</v>
      </c>
      <c r="DB85" s="372">
        <v>4265474</v>
      </c>
      <c r="DC85" s="372">
        <v>4265474</v>
      </c>
      <c r="DD85" s="372">
        <v>0</v>
      </c>
      <c r="DE85" s="374">
        <v>0</v>
      </c>
      <c r="DF85" s="375">
        <f t="shared" si="71"/>
        <v>8530948</v>
      </c>
      <c r="DG85" s="370">
        <f t="shared" si="45"/>
        <v>0.24999995604240771</v>
      </c>
      <c r="DH85" s="376">
        <f t="shared" si="60"/>
        <v>34123798</v>
      </c>
      <c r="DI85" s="376">
        <f t="shared" si="72"/>
        <v>25592844</v>
      </c>
      <c r="DJ85" s="370">
        <f t="shared" si="46"/>
        <v>1</v>
      </c>
      <c r="DK85" s="370"/>
      <c r="DL85" s="377">
        <f t="shared" si="61"/>
        <v>34123798</v>
      </c>
      <c r="DM85" s="370">
        <f t="shared" si="62"/>
        <v>0</v>
      </c>
      <c r="DN85" s="370">
        <f t="shared" si="63"/>
        <v>34123798</v>
      </c>
      <c r="DO85" s="370">
        <f t="shared" si="64"/>
        <v>0</v>
      </c>
      <c r="DP85" s="370">
        <f t="shared" si="65"/>
        <v>0</v>
      </c>
      <c r="DQ85" s="378">
        <f t="shared" si="66"/>
        <v>25592844</v>
      </c>
      <c r="DR85" s="370">
        <f t="shared" si="67"/>
        <v>0</v>
      </c>
      <c r="DS85" s="370">
        <f t="shared" si="68"/>
        <v>4265474</v>
      </c>
      <c r="DT85" s="370">
        <f t="shared" si="69"/>
        <v>12796422</v>
      </c>
      <c r="DU85" s="370">
        <f t="shared" si="70"/>
        <v>8530948</v>
      </c>
      <c r="DW85" s="300">
        <v>0</v>
      </c>
      <c r="DX85" s="300">
        <v>0</v>
      </c>
      <c r="DY85" s="300">
        <v>0</v>
      </c>
      <c r="DZ85" s="381">
        <f t="shared" si="73"/>
        <v>3071141.82</v>
      </c>
      <c r="EA85" s="382">
        <f t="shared" si="74"/>
        <v>37194939.82</v>
      </c>
      <c r="EB85" s="608"/>
    </row>
    <row r="86" spans="1:133" ht="184.5" hidden="1" customHeight="1" thickTop="1" thickBot="1">
      <c r="A86" s="133">
        <v>1</v>
      </c>
      <c r="B86" s="411" t="s">
        <v>6</v>
      </c>
      <c r="C86" s="135" t="s">
        <v>304</v>
      </c>
      <c r="D86" s="135" t="s">
        <v>305</v>
      </c>
      <c r="E86" s="412" t="s">
        <v>114</v>
      </c>
      <c r="F86" s="347" t="s">
        <v>306</v>
      </c>
      <c r="G86" s="412" t="s">
        <v>495</v>
      </c>
      <c r="H86" s="347" t="s">
        <v>498</v>
      </c>
      <c r="I86" s="347" t="s">
        <v>913</v>
      </c>
      <c r="J86" s="32">
        <v>50</v>
      </c>
      <c r="K86" s="348" t="s">
        <v>511</v>
      </c>
      <c r="L86" s="40" t="s">
        <v>937</v>
      </c>
      <c r="M86" s="40" t="s">
        <v>677</v>
      </c>
      <c r="N86" s="349" t="s">
        <v>11</v>
      </c>
      <c r="O86" s="350">
        <v>19</v>
      </c>
      <c r="P86" s="40" t="s">
        <v>23</v>
      </c>
      <c r="Q86" s="32">
        <v>1903</v>
      </c>
      <c r="R86" s="32">
        <v>1903016</v>
      </c>
      <c r="S86" s="39" t="s">
        <v>29</v>
      </c>
      <c r="T86" s="39" t="s">
        <v>513</v>
      </c>
      <c r="U86" s="32">
        <v>190301600</v>
      </c>
      <c r="V86" s="39" t="s">
        <v>30</v>
      </c>
      <c r="W86" s="417" t="s">
        <v>316</v>
      </c>
      <c r="X86" s="417"/>
      <c r="Y86" s="417"/>
      <c r="Z86" s="417"/>
      <c r="AA86" s="417"/>
      <c r="AB86" s="417"/>
      <c r="AC86" s="417"/>
      <c r="AD86" s="417"/>
      <c r="AE86" s="417"/>
      <c r="AF86" s="417"/>
      <c r="AG86" s="417"/>
      <c r="AH86" s="356">
        <f>SUM(X86:AG86)</f>
        <v>0</v>
      </c>
      <c r="AI86" s="460" t="s">
        <v>145</v>
      </c>
      <c r="AJ86" s="80">
        <v>1</v>
      </c>
      <c r="AK86" s="80">
        <v>1</v>
      </c>
      <c r="AL86" s="80">
        <v>1</v>
      </c>
      <c r="AM86" s="80">
        <v>1</v>
      </c>
      <c r="AN86" s="80">
        <v>1</v>
      </c>
      <c r="AO86" s="386">
        <v>150</v>
      </c>
      <c r="AP86" s="33">
        <f t="shared" si="47"/>
        <v>150</v>
      </c>
      <c r="AQ86" s="359" t="s">
        <v>316</v>
      </c>
      <c r="AR86" s="25">
        <v>0</v>
      </c>
      <c r="AS86" s="25">
        <v>50</v>
      </c>
      <c r="AT86" s="25">
        <v>50</v>
      </c>
      <c r="AU86" s="25">
        <v>50</v>
      </c>
      <c r="AV86" s="39" t="s">
        <v>678</v>
      </c>
      <c r="AW86" s="39" t="s">
        <v>745</v>
      </c>
      <c r="AX86" s="39" t="s">
        <v>935</v>
      </c>
      <c r="AY86" s="25">
        <v>367</v>
      </c>
      <c r="AZ86" s="39" t="s">
        <v>762</v>
      </c>
      <c r="BA86" s="40" t="s">
        <v>29</v>
      </c>
      <c r="BB86" s="360" t="s">
        <v>730</v>
      </c>
      <c r="BC86" s="453" t="s">
        <v>683</v>
      </c>
      <c r="BD86" s="84" t="s">
        <v>731</v>
      </c>
      <c r="BE86" s="459">
        <f>48000000-11075000</f>
        <v>36925000</v>
      </c>
      <c r="BF86" s="461" t="s">
        <v>940</v>
      </c>
      <c r="BG86" s="364" t="s">
        <v>919</v>
      </c>
      <c r="BH86" s="365" t="s">
        <v>920</v>
      </c>
      <c r="BI86" s="365"/>
      <c r="BJ86" s="26" t="s">
        <v>765</v>
      </c>
      <c r="BK86" s="26" t="s">
        <v>766</v>
      </c>
      <c r="BL86" s="359">
        <v>0</v>
      </c>
      <c r="BM86" s="359">
        <v>0</v>
      </c>
      <c r="BN86" s="359">
        <v>0</v>
      </c>
      <c r="BO86" s="366">
        <f t="shared" si="48"/>
        <v>0</v>
      </c>
      <c r="BP86" s="367">
        <f t="shared" si="49"/>
        <v>0</v>
      </c>
      <c r="BQ86" s="359">
        <v>0</v>
      </c>
      <c r="BR86" s="359">
        <v>0</v>
      </c>
      <c r="BS86" s="359">
        <v>0</v>
      </c>
      <c r="BT86" s="366">
        <f t="shared" si="50"/>
        <v>0</v>
      </c>
      <c r="BU86" s="367">
        <f t="shared" si="51"/>
        <v>0</v>
      </c>
      <c r="BV86" s="359">
        <v>0</v>
      </c>
      <c r="BW86" s="359">
        <v>0</v>
      </c>
      <c r="BX86" s="359">
        <v>0</v>
      </c>
      <c r="BY86" s="366">
        <f t="shared" si="52"/>
        <v>0</v>
      </c>
      <c r="BZ86" s="367">
        <f t="shared" si="53"/>
        <v>0</v>
      </c>
      <c r="CA86" s="359">
        <v>0</v>
      </c>
      <c r="CB86" s="359">
        <v>0</v>
      </c>
      <c r="CC86" s="359">
        <v>0</v>
      </c>
      <c r="CD86" s="366">
        <f t="shared" si="54"/>
        <v>0</v>
      </c>
      <c r="CE86" s="367">
        <f t="shared" si="55"/>
        <v>0</v>
      </c>
      <c r="CF86" s="368">
        <f t="shared" si="56"/>
        <v>0</v>
      </c>
      <c r="CG86" s="359">
        <f t="shared" si="41"/>
        <v>0</v>
      </c>
      <c r="CH86" s="369"/>
      <c r="CI86" s="369"/>
      <c r="CJ86" s="370">
        <v>0</v>
      </c>
      <c r="CK86" s="370">
        <v>0</v>
      </c>
      <c r="CL86" s="372">
        <v>0</v>
      </c>
      <c r="CM86" s="374">
        <v>0</v>
      </c>
      <c r="CN86" s="374">
        <f t="shared" si="57"/>
        <v>0</v>
      </c>
      <c r="CO86" s="370">
        <f t="shared" si="42"/>
        <v>0</v>
      </c>
      <c r="CP86" s="370">
        <v>0</v>
      </c>
      <c r="CQ86" s="370">
        <v>0</v>
      </c>
      <c r="CR86" s="372">
        <v>0</v>
      </c>
      <c r="CS86" s="374">
        <v>36666670</v>
      </c>
      <c r="CT86" s="375">
        <f t="shared" si="58"/>
        <v>0</v>
      </c>
      <c r="CU86" s="370">
        <f t="shared" si="43"/>
        <v>0</v>
      </c>
      <c r="CV86" s="370">
        <v>0</v>
      </c>
      <c r="CW86" s="395">
        <v>5500000</v>
      </c>
      <c r="CX86" s="395">
        <v>5500000</v>
      </c>
      <c r="CY86" s="374">
        <v>0</v>
      </c>
      <c r="CZ86" s="375">
        <f t="shared" si="59"/>
        <v>11000000</v>
      </c>
      <c r="DA86" s="370">
        <f t="shared" si="44"/>
        <v>0.29790115098171971</v>
      </c>
      <c r="DB86" s="395">
        <v>0</v>
      </c>
      <c r="DC86" s="395">
        <v>11000000</v>
      </c>
      <c r="DD86" s="372">
        <v>0</v>
      </c>
      <c r="DE86" s="374">
        <v>258330</v>
      </c>
      <c r="DF86" s="375">
        <f t="shared" si="71"/>
        <v>11000000</v>
      </c>
      <c r="DG86" s="370">
        <f t="shared" si="45"/>
        <v>0.29790115098171971</v>
      </c>
      <c r="DH86" s="376">
        <f t="shared" si="60"/>
        <v>36925000</v>
      </c>
      <c r="DI86" s="376">
        <f t="shared" si="72"/>
        <v>22000000</v>
      </c>
      <c r="DJ86" s="370">
        <f t="shared" si="46"/>
        <v>1</v>
      </c>
      <c r="DK86" s="370"/>
      <c r="DL86" s="377">
        <f t="shared" si="61"/>
        <v>36925000</v>
      </c>
      <c r="DM86" s="370">
        <f t="shared" si="62"/>
        <v>0</v>
      </c>
      <c r="DN86" s="370">
        <f t="shared" si="63"/>
        <v>36666670</v>
      </c>
      <c r="DO86" s="370">
        <f t="shared" si="64"/>
        <v>0</v>
      </c>
      <c r="DP86" s="370">
        <f t="shared" si="65"/>
        <v>258330</v>
      </c>
      <c r="DQ86" s="378">
        <f t="shared" si="66"/>
        <v>22000000</v>
      </c>
      <c r="DR86" s="370">
        <f t="shared" si="67"/>
        <v>0</v>
      </c>
      <c r="DS86" s="370">
        <f t="shared" si="68"/>
        <v>0</v>
      </c>
      <c r="DT86" s="370">
        <f t="shared" si="69"/>
        <v>11000000</v>
      </c>
      <c r="DU86" s="370">
        <f t="shared" si="70"/>
        <v>11000000</v>
      </c>
      <c r="DV86" s="431">
        <f>BE86-DH86</f>
        <v>0</v>
      </c>
      <c r="DZ86" s="381">
        <f t="shared" si="73"/>
        <v>3323250</v>
      </c>
      <c r="EA86" s="382">
        <f t="shared" si="74"/>
        <v>40248250</v>
      </c>
      <c r="EB86" s="608"/>
    </row>
    <row r="87" spans="1:133" ht="192" hidden="1" customHeight="1" thickTop="1" thickBot="1">
      <c r="A87" s="133"/>
      <c r="B87" s="411"/>
      <c r="C87" s="135"/>
      <c r="D87" s="135"/>
      <c r="E87" s="412"/>
      <c r="F87" s="347"/>
      <c r="G87" s="412"/>
      <c r="H87" s="347"/>
      <c r="I87" s="347"/>
      <c r="J87" s="32"/>
      <c r="K87" s="348" t="s">
        <v>511</v>
      </c>
      <c r="L87" s="40"/>
      <c r="M87" s="40"/>
      <c r="N87" s="349" t="s">
        <v>11</v>
      </c>
      <c r="O87" s="350">
        <v>19</v>
      </c>
      <c r="P87" s="40" t="s">
        <v>23</v>
      </c>
      <c r="Q87" s="32">
        <v>1903</v>
      </c>
      <c r="R87" s="32">
        <v>1903016</v>
      </c>
      <c r="S87" s="39" t="s">
        <v>29</v>
      </c>
      <c r="T87" s="39" t="s">
        <v>513</v>
      </c>
      <c r="U87" s="32">
        <v>190301600</v>
      </c>
      <c r="V87" s="39" t="s">
        <v>30</v>
      </c>
      <c r="W87" s="417"/>
      <c r="X87" s="417"/>
      <c r="Y87" s="417"/>
      <c r="Z87" s="417"/>
      <c r="AA87" s="417"/>
      <c r="AB87" s="417"/>
      <c r="AC87" s="417"/>
      <c r="AD87" s="417"/>
      <c r="AE87" s="417"/>
      <c r="AF87" s="417"/>
      <c r="AG87" s="417"/>
      <c r="AH87" s="356"/>
      <c r="AI87" s="397" t="s">
        <v>146</v>
      </c>
      <c r="AJ87" s="80"/>
      <c r="AK87" s="80"/>
      <c r="AL87" s="80"/>
      <c r="AM87" s="80"/>
      <c r="AN87" s="80"/>
      <c r="AO87" s="386"/>
      <c r="AP87" s="33">
        <v>100</v>
      </c>
      <c r="AQ87" s="359"/>
      <c r="AR87" s="25">
        <v>0</v>
      </c>
      <c r="AS87" s="25">
        <v>25</v>
      </c>
      <c r="AT87" s="25">
        <v>25</v>
      </c>
      <c r="AU87" s="25">
        <v>50</v>
      </c>
      <c r="AV87" s="444" t="s">
        <v>678</v>
      </c>
      <c r="AW87" s="444" t="s">
        <v>874</v>
      </c>
      <c r="AX87" s="39" t="s">
        <v>935</v>
      </c>
      <c r="AY87" s="25">
        <v>367</v>
      </c>
      <c r="AZ87" s="39" t="s">
        <v>762</v>
      </c>
      <c r="BA87" s="40" t="s">
        <v>29</v>
      </c>
      <c r="BB87" s="360" t="s">
        <v>730</v>
      </c>
      <c r="BC87" s="361" t="s">
        <v>683</v>
      </c>
      <c r="BD87" s="40" t="s">
        <v>731</v>
      </c>
      <c r="BE87" s="387">
        <v>68000000</v>
      </c>
      <c r="BF87" s="462" t="s">
        <v>941</v>
      </c>
      <c r="BG87" s="364"/>
      <c r="BH87" s="365" t="s">
        <v>920</v>
      </c>
      <c r="BI87" s="365"/>
      <c r="BJ87" s="26" t="s">
        <v>765</v>
      </c>
      <c r="BK87" s="26" t="s">
        <v>766</v>
      </c>
      <c r="BL87" s="359"/>
      <c r="BM87" s="359"/>
      <c r="BN87" s="359"/>
      <c r="BO87" s="366">
        <f>SUM(BL87:BN87)</f>
        <v>0</v>
      </c>
      <c r="BP87" s="367">
        <f>BO87/AP87</f>
        <v>0</v>
      </c>
      <c r="BQ87" s="359">
        <v>0</v>
      </c>
      <c r="BR87" s="359">
        <v>12.5</v>
      </c>
      <c r="BS87" s="359">
        <v>12.5</v>
      </c>
      <c r="BT87" s="366">
        <f>SUM(BQ87:BS87)</f>
        <v>25</v>
      </c>
      <c r="BU87" s="367">
        <f>BT87/AP87</f>
        <v>0.25</v>
      </c>
      <c r="BV87" s="359">
        <v>12.5</v>
      </c>
      <c r="BW87" s="359">
        <v>12.5</v>
      </c>
      <c r="BX87" s="359">
        <v>12.5</v>
      </c>
      <c r="BY87" s="366">
        <f>SUM(BV87:BX87)</f>
        <v>37.5</v>
      </c>
      <c r="BZ87" s="367">
        <f>BY87/AP87</f>
        <v>0.375</v>
      </c>
      <c r="CA87" s="359">
        <v>0</v>
      </c>
      <c r="CB87" s="359">
        <v>0</v>
      </c>
      <c r="CC87" s="359">
        <v>0</v>
      </c>
      <c r="CD87" s="366">
        <f>SUM(CA87:CC87)</f>
        <v>0</v>
      </c>
      <c r="CE87" s="367">
        <f>CD87/AU87</f>
        <v>0</v>
      </c>
      <c r="CF87" s="368">
        <f>BO87+BT87+BY87+CD87</f>
        <v>62.5</v>
      </c>
      <c r="CG87" s="359">
        <f>CF87/AP87</f>
        <v>0.625</v>
      </c>
      <c r="CH87" s="369"/>
      <c r="CI87" s="369"/>
      <c r="CJ87" s="370">
        <v>0</v>
      </c>
      <c r="CK87" s="370">
        <v>0</v>
      </c>
      <c r="CL87" s="372">
        <v>0</v>
      </c>
      <c r="CM87" s="374">
        <v>0</v>
      </c>
      <c r="CN87" s="374">
        <f>SUM(CJ87:CL87)</f>
        <v>0</v>
      </c>
      <c r="CO87" s="370"/>
      <c r="CP87" s="370">
        <v>0</v>
      </c>
      <c r="CQ87" s="370">
        <v>0</v>
      </c>
      <c r="CR87" s="372">
        <v>0</v>
      </c>
      <c r="CS87" s="374">
        <v>68000000</v>
      </c>
      <c r="CT87" s="375">
        <f t="shared" si="58"/>
        <v>0</v>
      </c>
      <c r="CU87" s="370">
        <f t="shared" si="43"/>
        <v>0</v>
      </c>
      <c r="CV87" s="370">
        <v>9488372</v>
      </c>
      <c r="CW87" s="370">
        <v>9488372</v>
      </c>
      <c r="CX87" s="370">
        <v>9488372</v>
      </c>
      <c r="CY87" s="374"/>
      <c r="CZ87" s="375">
        <f t="shared" si="59"/>
        <v>28465116</v>
      </c>
      <c r="DA87" s="370"/>
      <c r="DB87" s="370">
        <v>9488372</v>
      </c>
      <c r="DC87" s="370">
        <v>9488372</v>
      </c>
      <c r="DD87" s="372"/>
      <c r="DE87" s="374">
        <v>0</v>
      </c>
      <c r="DF87" s="375">
        <f t="shared" si="71"/>
        <v>18976744</v>
      </c>
      <c r="DG87" s="370"/>
      <c r="DH87" s="376">
        <f t="shared" si="60"/>
        <v>68000000</v>
      </c>
      <c r="DI87" s="376">
        <f t="shared" si="72"/>
        <v>47441860</v>
      </c>
      <c r="DJ87" s="370"/>
      <c r="DK87" s="370"/>
      <c r="DL87" s="377">
        <f t="shared" si="61"/>
        <v>68000000</v>
      </c>
      <c r="DM87" s="370">
        <f t="shared" si="62"/>
        <v>0</v>
      </c>
      <c r="DN87" s="370">
        <f t="shared" si="63"/>
        <v>68000000</v>
      </c>
      <c r="DO87" s="370">
        <f t="shared" si="64"/>
        <v>0</v>
      </c>
      <c r="DP87" s="370">
        <f t="shared" si="65"/>
        <v>0</v>
      </c>
      <c r="DQ87" s="378">
        <f t="shared" si="66"/>
        <v>47441860</v>
      </c>
      <c r="DR87" s="370">
        <f t="shared" si="67"/>
        <v>0</v>
      </c>
      <c r="DS87" s="370">
        <f t="shared" si="68"/>
        <v>0</v>
      </c>
      <c r="DT87" s="370">
        <f t="shared" si="69"/>
        <v>28465116</v>
      </c>
      <c r="DU87" s="370">
        <f t="shared" si="70"/>
        <v>18976744</v>
      </c>
      <c r="DW87" s="300">
        <v>0</v>
      </c>
      <c r="DX87" s="300">
        <v>0</v>
      </c>
      <c r="DY87" s="300">
        <v>0</v>
      </c>
      <c r="DZ87" s="381">
        <f t="shared" si="73"/>
        <v>6120000</v>
      </c>
      <c r="EA87" s="382">
        <f t="shared" si="74"/>
        <v>74120000</v>
      </c>
      <c r="EB87" s="608"/>
    </row>
    <row r="88" spans="1:133" ht="141" hidden="1" customHeight="1" thickTop="1" thickBot="1">
      <c r="A88" s="133">
        <v>1</v>
      </c>
      <c r="B88" s="411" t="s">
        <v>6</v>
      </c>
      <c r="C88" s="135" t="s">
        <v>304</v>
      </c>
      <c r="D88" s="135" t="s">
        <v>305</v>
      </c>
      <c r="E88" s="412" t="s">
        <v>114</v>
      </c>
      <c r="F88" s="347" t="s">
        <v>306</v>
      </c>
      <c r="G88" s="412" t="s">
        <v>495</v>
      </c>
      <c r="H88" s="347" t="s">
        <v>498</v>
      </c>
      <c r="I88" s="347" t="s">
        <v>913</v>
      </c>
      <c r="J88" s="32">
        <v>51</v>
      </c>
      <c r="K88" s="348" t="s">
        <v>516</v>
      </c>
      <c r="L88" s="40" t="s">
        <v>942</v>
      </c>
      <c r="M88" s="40" t="s">
        <v>677</v>
      </c>
      <c r="N88" s="349" t="s">
        <v>11</v>
      </c>
      <c r="O88" s="350">
        <v>19</v>
      </c>
      <c r="P88" s="39" t="s">
        <v>23</v>
      </c>
      <c r="Q88" s="32">
        <v>1903</v>
      </c>
      <c r="R88" s="351">
        <v>1903011</v>
      </c>
      <c r="S88" s="352" t="s">
        <v>24</v>
      </c>
      <c r="T88" s="383" t="s">
        <v>359</v>
      </c>
      <c r="U88" s="351">
        <v>190301100</v>
      </c>
      <c r="V88" s="383" t="s">
        <v>26</v>
      </c>
      <c r="W88" s="417" t="s">
        <v>316</v>
      </c>
      <c r="X88" s="418">
        <f>BE88</f>
        <v>42800000</v>
      </c>
      <c r="Y88" s="417"/>
      <c r="Z88" s="417"/>
      <c r="AA88" s="417"/>
      <c r="AB88" s="417"/>
      <c r="AC88" s="417"/>
      <c r="AD88" s="417"/>
      <c r="AE88" s="417"/>
      <c r="AF88" s="417"/>
      <c r="AG88" s="417"/>
      <c r="AH88" s="356">
        <f>SUM(X88:AG88)</f>
        <v>42800000</v>
      </c>
      <c r="AI88" s="407" t="s">
        <v>943</v>
      </c>
      <c r="AJ88" s="80">
        <v>8</v>
      </c>
      <c r="AK88" s="80">
        <v>8</v>
      </c>
      <c r="AL88" s="80">
        <v>7</v>
      </c>
      <c r="AM88" s="80">
        <v>8</v>
      </c>
      <c r="AN88" s="80">
        <v>8</v>
      </c>
      <c r="AO88" s="358">
        <v>11</v>
      </c>
      <c r="AP88" s="33">
        <f>+SUM(AR88:AU88)</f>
        <v>10</v>
      </c>
      <c r="AQ88" s="359" t="s">
        <v>316</v>
      </c>
      <c r="AR88" s="25">
        <v>0</v>
      </c>
      <c r="AS88" s="25">
        <v>2</v>
      </c>
      <c r="AT88" s="25">
        <v>4</v>
      </c>
      <c r="AU88" s="25">
        <v>4</v>
      </c>
      <c r="AV88" s="392" t="s">
        <v>726</v>
      </c>
      <c r="AW88" s="392" t="s">
        <v>727</v>
      </c>
      <c r="AX88" s="39" t="s">
        <v>944</v>
      </c>
      <c r="AY88" s="25">
        <v>374</v>
      </c>
      <c r="AZ88" s="39" t="s">
        <v>762</v>
      </c>
      <c r="BA88" s="40" t="s">
        <v>24</v>
      </c>
      <c r="BB88" s="360" t="s">
        <v>730</v>
      </c>
      <c r="BC88" s="361" t="s">
        <v>683</v>
      </c>
      <c r="BD88" s="40" t="s">
        <v>731</v>
      </c>
      <c r="BE88" s="421">
        <v>42800000</v>
      </c>
      <c r="BF88" s="363" t="s">
        <v>945</v>
      </c>
      <c r="BG88" s="364" t="s">
        <v>946</v>
      </c>
      <c r="BH88" s="365" t="s">
        <v>947</v>
      </c>
      <c r="BI88" s="365"/>
      <c r="BJ88" s="26" t="s">
        <v>765</v>
      </c>
      <c r="BK88" s="26" t="s">
        <v>766</v>
      </c>
      <c r="BL88" s="359">
        <v>0</v>
      </c>
      <c r="BM88" s="359">
        <v>0</v>
      </c>
      <c r="BN88" s="359">
        <v>0</v>
      </c>
      <c r="BO88" s="366">
        <f t="shared" si="48"/>
        <v>0</v>
      </c>
      <c r="BP88" s="367">
        <f t="shared" si="49"/>
        <v>0</v>
      </c>
      <c r="BQ88" s="359">
        <v>0</v>
      </c>
      <c r="BR88" s="359">
        <v>2</v>
      </c>
      <c r="BS88" s="359">
        <v>2</v>
      </c>
      <c r="BT88" s="366">
        <f t="shared" si="50"/>
        <v>4</v>
      </c>
      <c r="BU88" s="367">
        <f t="shared" si="51"/>
        <v>0.4</v>
      </c>
      <c r="BV88" s="359">
        <v>1</v>
      </c>
      <c r="BW88" s="359">
        <v>1</v>
      </c>
      <c r="BX88" s="359">
        <v>1</v>
      </c>
      <c r="BY88" s="366">
        <f t="shared" si="52"/>
        <v>3</v>
      </c>
      <c r="BZ88" s="367">
        <f t="shared" si="53"/>
        <v>0.3</v>
      </c>
      <c r="CA88" s="359">
        <v>0</v>
      </c>
      <c r="CB88" s="359">
        <v>0</v>
      </c>
      <c r="CC88" s="359">
        <v>0</v>
      </c>
      <c r="CD88" s="366">
        <f t="shared" si="54"/>
        <v>0</v>
      </c>
      <c r="CE88" s="367">
        <f t="shared" si="55"/>
        <v>0</v>
      </c>
      <c r="CF88" s="368">
        <f t="shared" si="56"/>
        <v>7</v>
      </c>
      <c r="CG88" s="359">
        <f>CF88/AP88</f>
        <v>0.7</v>
      </c>
      <c r="CH88" s="369"/>
      <c r="CI88" s="369"/>
      <c r="CJ88" s="370">
        <v>0</v>
      </c>
      <c r="CK88" s="370">
        <v>0</v>
      </c>
      <c r="CL88" s="372">
        <v>0</v>
      </c>
      <c r="CM88" s="374">
        <v>0</v>
      </c>
      <c r="CN88" s="374">
        <f t="shared" si="57"/>
        <v>0</v>
      </c>
      <c r="CO88" s="370">
        <f>CN88/BE88</f>
        <v>0</v>
      </c>
      <c r="CP88" s="370">
        <v>0</v>
      </c>
      <c r="CQ88" s="370">
        <v>0</v>
      </c>
      <c r="CR88" s="372">
        <v>5350000</v>
      </c>
      <c r="CS88" s="374">
        <v>42800000</v>
      </c>
      <c r="CT88" s="375">
        <f t="shared" si="58"/>
        <v>5350000</v>
      </c>
      <c r="CU88" s="370">
        <f>CT88/BE88</f>
        <v>0.125</v>
      </c>
      <c r="CV88" s="370">
        <v>5350000</v>
      </c>
      <c r="CW88" s="370">
        <v>5350000</v>
      </c>
      <c r="CX88" s="370">
        <v>5350000</v>
      </c>
      <c r="CY88" s="374">
        <v>0</v>
      </c>
      <c r="CZ88" s="375">
        <f t="shared" si="59"/>
        <v>16050000</v>
      </c>
      <c r="DA88" s="370">
        <f>CZ88/BE88</f>
        <v>0.375</v>
      </c>
      <c r="DB88" s="370">
        <v>5350000</v>
      </c>
      <c r="DC88" s="370">
        <v>5350000</v>
      </c>
      <c r="DD88" s="372">
        <v>0</v>
      </c>
      <c r="DE88" s="374">
        <v>0</v>
      </c>
      <c r="DF88" s="375">
        <f t="shared" si="71"/>
        <v>10700000</v>
      </c>
      <c r="DG88" s="370">
        <f>DF88/BE88</f>
        <v>0.25</v>
      </c>
      <c r="DH88" s="376">
        <f t="shared" si="60"/>
        <v>42800000</v>
      </c>
      <c r="DI88" s="376">
        <f t="shared" si="72"/>
        <v>32100000</v>
      </c>
      <c r="DJ88" s="370">
        <f>DH88/BE88</f>
        <v>1</v>
      </c>
      <c r="DK88" s="370"/>
      <c r="DL88" s="377">
        <f t="shared" si="61"/>
        <v>42800000</v>
      </c>
      <c r="DM88" s="370">
        <f t="shared" si="62"/>
        <v>0</v>
      </c>
      <c r="DN88" s="370">
        <f t="shared" si="63"/>
        <v>42800000</v>
      </c>
      <c r="DO88" s="370">
        <f t="shared" si="64"/>
        <v>0</v>
      </c>
      <c r="DP88" s="370">
        <f t="shared" si="65"/>
        <v>0</v>
      </c>
      <c r="DQ88" s="378">
        <f t="shared" si="66"/>
        <v>32100000</v>
      </c>
      <c r="DR88" s="370">
        <f t="shared" si="67"/>
        <v>0</v>
      </c>
      <c r="DS88" s="370">
        <f t="shared" si="68"/>
        <v>5350000</v>
      </c>
      <c r="DT88" s="370">
        <f>CZ88</f>
        <v>16050000</v>
      </c>
      <c r="DU88" s="370">
        <f t="shared" si="70"/>
        <v>10700000</v>
      </c>
      <c r="DW88" s="300">
        <v>0</v>
      </c>
      <c r="DX88" s="300">
        <v>0</v>
      </c>
      <c r="DY88" s="300">
        <v>0</v>
      </c>
      <c r="DZ88" s="381">
        <f t="shared" si="73"/>
        <v>3852000</v>
      </c>
      <c r="EA88" s="382">
        <f t="shared" si="74"/>
        <v>46652000</v>
      </c>
      <c r="EB88" s="608"/>
      <c r="EC88" s="280" t="s">
        <v>1176</v>
      </c>
    </row>
    <row r="89" spans="1:133" ht="125.25" hidden="1" customHeight="1" thickTop="1" thickBot="1">
      <c r="A89" s="133">
        <v>1</v>
      </c>
      <c r="B89" s="411" t="s">
        <v>6</v>
      </c>
      <c r="C89" s="135" t="s">
        <v>304</v>
      </c>
      <c r="D89" s="135" t="s">
        <v>305</v>
      </c>
      <c r="E89" s="412" t="s">
        <v>114</v>
      </c>
      <c r="F89" s="347" t="s">
        <v>306</v>
      </c>
      <c r="G89" s="412" t="s">
        <v>495</v>
      </c>
      <c r="H89" s="347" t="s">
        <v>498</v>
      </c>
      <c r="I89" s="347" t="s">
        <v>913</v>
      </c>
      <c r="J89" s="32">
        <v>52</v>
      </c>
      <c r="K89" s="348" t="s">
        <v>948</v>
      </c>
      <c r="L89" s="40" t="s">
        <v>949</v>
      </c>
      <c r="M89" s="40" t="s">
        <v>677</v>
      </c>
      <c r="N89" s="349" t="s">
        <v>11</v>
      </c>
      <c r="O89" s="350">
        <v>19</v>
      </c>
      <c r="P89" s="39" t="s">
        <v>950</v>
      </c>
      <c r="Q89" s="32">
        <v>1903</v>
      </c>
      <c r="R89" s="448">
        <v>1903045</v>
      </c>
      <c r="S89" s="352" t="s">
        <v>87</v>
      </c>
      <c r="T89" s="383" t="s">
        <v>951</v>
      </c>
      <c r="U89" s="351">
        <v>190304500</v>
      </c>
      <c r="V89" s="383" t="s">
        <v>88</v>
      </c>
      <c r="W89" s="417" t="s">
        <v>316</v>
      </c>
      <c r="X89" s="449">
        <f>BE89</f>
        <v>107000000</v>
      </c>
      <c r="Y89" s="417"/>
      <c r="Z89" s="417"/>
      <c r="AA89" s="417"/>
      <c r="AB89" s="417"/>
      <c r="AC89" s="417"/>
      <c r="AD89" s="417"/>
      <c r="AE89" s="417"/>
      <c r="AF89" s="417"/>
      <c r="AG89" s="417"/>
      <c r="AH89" s="356">
        <f t="shared" si="40"/>
        <v>107000000</v>
      </c>
      <c r="AI89" s="357" t="s">
        <v>164</v>
      </c>
      <c r="AJ89" s="80">
        <v>1</v>
      </c>
      <c r="AK89" s="80">
        <v>1</v>
      </c>
      <c r="AL89" s="80">
        <v>1</v>
      </c>
      <c r="AM89" s="80">
        <v>1</v>
      </c>
      <c r="AN89" s="80">
        <v>1</v>
      </c>
      <c r="AO89" s="358">
        <v>1</v>
      </c>
      <c r="AP89" s="33">
        <f t="shared" si="47"/>
        <v>100</v>
      </c>
      <c r="AQ89" s="359" t="s">
        <v>707</v>
      </c>
      <c r="AR89" s="25">
        <v>0</v>
      </c>
      <c r="AS89" s="25">
        <v>30</v>
      </c>
      <c r="AT89" s="25">
        <v>30</v>
      </c>
      <c r="AU89" s="25">
        <v>40</v>
      </c>
      <c r="AV89" s="39" t="s">
        <v>678</v>
      </c>
      <c r="AW89" s="39" t="s">
        <v>952</v>
      </c>
      <c r="AX89" s="39" t="s">
        <v>953</v>
      </c>
      <c r="AY89" s="32" t="s">
        <v>954</v>
      </c>
      <c r="AZ89" s="39" t="s">
        <v>762</v>
      </c>
      <c r="BA89" s="40" t="s">
        <v>955</v>
      </c>
      <c r="BB89" s="360" t="s">
        <v>709</v>
      </c>
      <c r="BC89" s="361" t="s">
        <v>710</v>
      </c>
      <c r="BD89" s="40" t="s">
        <v>698</v>
      </c>
      <c r="BE89" s="391">
        <v>107000000</v>
      </c>
      <c r="BF89" s="363" t="s">
        <v>956</v>
      </c>
      <c r="BG89" s="364" t="s">
        <v>957</v>
      </c>
      <c r="BH89" s="365" t="s">
        <v>958</v>
      </c>
      <c r="BI89" s="365"/>
      <c r="BJ89" s="26" t="s">
        <v>765</v>
      </c>
      <c r="BK89" s="26" t="s">
        <v>766</v>
      </c>
      <c r="BL89" s="359">
        <v>0</v>
      </c>
      <c r="BM89" s="359">
        <v>0</v>
      </c>
      <c r="BN89" s="359">
        <v>0</v>
      </c>
      <c r="BO89" s="366">
        <f t="shared" si="48"/>
        <v>0</v>
      </c>
      <c r="BP89" s="367">
        <f t="shared" si="49"/>
        <v>0</v>
      </c>
      <c r="BQ89" s="359">
        <v>0</v>
      </c>
      <c r="BR89" s="359">
        <v>0</v>
      </c>
      <c r="BS89" s="359">
        <v>15</v>
      </c>
      <c r="BT89" s="366">
        <f t="shared" si="50"/>
        <v>15</v>
      </c>
      <c r="BU89" s="367">
        <f t="shared" si="51"/>
        <v>0.15</v>
      </c>
      <c r="BV89" s="359">
        <v>15</v>
      </c>
      <c r="BW89" s="359">
        <v>15</v>
      </c>
      <c r="BX89" s="359">
        <v>15</v>
      </c>
      <c r="BY89" s="366">
        <f t="shared" si="52"/>
        <v>45</v>
      </c>
      <c r="BZ89" s="367">
        <f t="shared" si="53"/>
        <v>0.45</v>
      </c>
      <c r="CA89" s="359">
        <v>0</v>
      </c>
      <c r="CB89" s="359">
        <v>0</v>
      </c>
      <c r="CC89" s="359">
        <v>0</v>
      </c>
      <c r="CD89" s="366">
        <f t="shared" si="54"/>
        <v>0</v>
      </c>
      <c r="CE89" s="367">
        <f t="shared" si="55"/>
        <v>0</v>
      </c>
      <c r="CF89" s="368">
        <f t="shared" si="56"/>
        <v>60</v>
      </c>
      <c r="CG89" s="359">
        <f t="shared" si="41"/>
        <v>0.6</v>
      </c>
      <c r="CH89" s="369"/>
      <c r="CI89" s="369"/>
      <c r="CJ89" s="370">
        <v>0</v>
      </c>
      <c r="CK89" s="370">
        <v>0</v>
      </c>
      <c r="CL89" s="372">
        <v>0</v>
      </c>
      <c r="CM89" s="374">
        <v>0</v>
      </c>
      <c r="CN89" s="374">
        <f t="shared" si="57"/>
        <v>0</v>
      </c>
      <c r="CO89" s="370">
        <f t="shared" si="42"/>
        <v>0</v>
      </c>
      <c r="CP89" s="370">
        <v>0</v>
      </c>
      <c r="CQ89" s="370">
        <v>0</v>
      </c>
      <c r="CR89" s="372">
        <v>0</v>
      </c>
      <c r="CS89" s="374">
        <v>107000000</v>
      </c>
      <c r="CT89" s="375">
        <f t="shared" si="58"/>
        <v>0</v>
      </c>
      <c r="CU89" s="370">
        <f t="shared" si="43"/>
        <v>0</v>
      </c>
      <c r="CV89" s="370">
        <v>14930000</v>
      </c>
      <c r="CW89" s="370">
        <v>14930000</v>
      </c>
      <c r="CX89" s="370">
        <v>14930000</v>
      </c>
      <c r="CY89" s="374">
        <v>0</v>
      </c>
      <c r="CZ89" s="375">
        <f t="shared" si="59"/>
        <v>44790000</v>
      </c>
      <c r="DA89" s="370">
        <f t="shared" si="44"/>
        <v>0.41859813084112152</v>
      </c>
      <c r="DB89" s="370">
        <v>14930000</v>
      </c>
      <c r="DC89" s="370">
        <v>14930000</v>
      </c>
      <c r="DD89" s="372">
        <v>0</v>
      </c>
      <c r="DE89" s="374">
        <v>0</v>
      </c>
      <c r="DF89" s="375">
        <f t="shared" si="71"/>
        <v>29860000</v>
      </c>
      <c r="DG89" s="370">
        <f t="shared" si="45"/>
        <v>0.27906542056074768</v>
      </c>
      <c r="DH89" s="376">
        <f t="shared" si="60"/>
        <v>107000000</v>
      </c>
      <c r="DI89" s="376">
        <f t="shared" si="72"/>
        <v>74650000</v>
      </c>
      <c r="DJ89" s="370">
        <f t="shared" si="46"/>
        <v>1</v>
      </c>
      <c r="DK89" s="370"/>
      <c r="DL89" s="377">
        <f t="shared" si="61"/>
        <v>107000000</v>
      </c>
      <c r="DM89" s="370">
        <f t="shared" si="62"/>
        <v>0</v>
      </c>
      <c r="DN89" s="370">
        <f t="shared" si="63"/>
        <v>107000000</v>
      </c>
      <c r="DO89" s="370">
        <f t="shared" si="64"/>
        <v>0</v>
      </c>
      <c r="DP89" s="370">
        <f t="shared" si="65"/>
        <v>0</v>
      </c>
      <c r="DQ89" s="378">
        <f t="shared" si="66"/>
        <v>74650000</v>
      </c>
      <c r="DR89" s="370">
        <f t="shared" si="67"/>
        <v>0</v>
      </c>
      <c r="DS89" s="370">
        <f t="shared" si="68"/>
        <v>0</v>
      </c>
      <c r="DT89" s="370">
        <f t="shared" si="69"/>
        <v>44790000</v>
      </c>
      <c r="DU89" s="370">
        <f t="shared" si="70"/>
        <v>29860000</v>
      </c>
      <c r="DW89" s="300">
        <v>0</v>
      </c>
      <c r="DX89" s="300">
        <v>0</v>
      </c>
      <c r="DY89" s="300">
        <v>0</v>
      </c>
      <c r="DZ89" s="381">
        <f t="shared" si="73"/>
        <v>9630000</v>
      </c>
      <c r="EA89" s="382">
        <f t="shared" si="74"/>
        <v>116630000</v>
      </c>
      <c r="EB89" s="609" t="s">
        <v>959</v>
      </c>
      <c r="EC89" s="280" t="s">
        <v>1177</v>
      </c>
    </row>
    <row r="90" spans="1:133" ht="125.25" hidden="1" customHeight="1" thickTop="1" thickBot="1">
      <c r="A90" s="133">
        <v>1</v>
      </c>
      <c r="B90" s="411" t="s">
        <v>6</v>
      </c>
      <c r="C90" s="135" t="s">
        <v>304</v>
      </c>
      <c r="D90" s="135" t="s">
        <v>305</v>
      </c>
      <c r="E90" s="412" t="s">
        <v>114</v>
      </c>
      <c r="F90" s="347" t="s">
        <v>306</v>
      </c>
      <c r="G90" s="412" t="s">
        <v>531</v>
      </c>
      <c r="H90" s="347" t="s">
        <v>534</v>
      </c>
      <c r="I90" s="347" t="s">
        <v>960</v>
      </c>
      <c r="J90" s="32">
        <v>53</v>
      </c>
      <c r="K90" s="348" t="s">
        <v>961</v>
      </c>
      <c r="L90" s="40" t="s">
        <v>962</v>
      </c>
      <c r="M90" s="40" t="s">
        <v>963</v>
      </c>
      <c r="N90" s="349" t="s">
        <v>11</v>
      </c>
      <c r="O90" s="350">
        <v>19</v>
      </c>
      <c r="P90" s="39" t="s">
        <v>19</v>
      </c>
      <c r="Q90" s="32">
        <v>1905</v>
      </c>
      <c r="R90" s="351">
        <v>1905030</v>
      </c>
      <c r="S90" s="352" t="s">
        <v>53</v>
      </c>
      <c r="T90" s="383" t="s">
        <v>538</v>
      </c>
      <c r="U90" s="351">
        <v>190503000</v>
      </c>
      <c r="V90" s="383" t="s">
        <v>54</v>
      </c>
      <c r="W90" s="417" t="s">
        <v>316</v>
      </c>
      <c r="X90" s="417"/>
      <c r="Y90" s="417"/>
      <c r="Z90" s="417"/>
      <c r="AA90" s="417"/>
      <c r="AB90" s="417"/>
      <c r="AC90" s="418">
        <f>BE90</f>
        <v>2120000</v>
      </c>
      <c r="AD90" s="417"/>
      <c r="AE90" s="417"/>
      <c r="AF90" s="417"/>
      <c r="AG90" s="417"/>
      <c r="AH90" s="356">
        <f t="shared" si="40"/>
        <v>2120000</v>
      </c>
      <c r="AI90" s="357" t="s">
        <v>226</v>
      </c>
      <c r="AJ90" s="80">
        <v>3425</v>
      </c>
      <c r="AK90" s="80">
        <v>3425</v>
      </c>
      <c r="AL90" s="80">
        <v>3250</v>
      </c>
      <c r="AM90" s="80">
        <v>3425</v>
      </c>
      <c r="AN90" s="80">
        <v>3425</v>
      </c>
      <c r="AO90" s="386">
        <v>11</v>
      </c>
      <c r="AP90" s="33">
        <f t="shared" si="47"/>
        <v>11</v>
      </c>
      <c r="AQ90" s="359" t="s">
        <v>316</v>
      </c>
      <c r="AR90" s="25">
        <v>0</v>
      </c>
      <c r="AS90" s="25">
        <v>1</v>
      </c>
      <c r="AT90" s="25">
        <v>5</v>
      </c>
      <c r="AU90" s="25">
        <v>5</v>
      </c>
      <c r="AV90" s="392" t="s">
        <v>779</v>
      </c>
      <c r="AW90" s="392" t="s">
        <v>830</v>
      </c>
      <c r="AX90" s="39" t="s">
        <v>964</v>
      </c>
      <c r="AY90" s="25">
        <v>394</v>
      </c>
      <c r="AZ90" s="39" t="s">
        <v>729</v>
      </c>
      <c r="BA90" s="40" t="s">
        <v>53</v>
      </c>
      <c r="BB90" s="360" t="s">
        <v>709</v>
      </c>
      <c r="BC90" s="361" t="s">
        <v>710</v>
      </c>
      <c r="BD90" s="40" t="s">
        <v>698</v>
      </c>
      <c r="BE90" s="391">
        <v>2120000</v>
      </c>
      <c r="BF90" s="363" t="s">
        <v>965</v>
      </c>
      <c r="BG90" s="364" t="s">
        <v>966</v>
      </c>
      <c r="BH90" s="463" t="s">
        <v>154</v>
      </c>
      <c r="BI90" s="365" t="s">
        <v>967</v>
      </c>
      <c r="BJ90" s="26" t="s">
        <v>968</v>
      </c>
      <c r="BK90" s="26" t="s">
        <v>969</v>
      </c>
      <c r="BL90" s="359">
        <v>0</v>
      </c>
      <c r="BM90" s="359">
        <v>0</v>
      </c>
      <c r="BN90" s="359">
        <v>0</v>
      </c>
      <c r="BO90" s="366">
        <f t="shared" si="48"/>
        <v>0</v>
      </c>
      <c r="BP90" s="367">
        <f t="shared" si="49"/>
        <v>0</v>
      </c>
      <c r="BQ90" s="359">
        <v>0</v>
      </c>
      <c r="BR90" s="359">
        <v>0</v>
      </c>
      <c r="BS90" s="359">
        <v>0</v>
      </c>
      <c r="BT90" s="366">
        <f t="shared" si="50"/>
        <v>0</v>
      </c>
      <c r="BU90" s="367">
        <f t="shared" si="51"/>
        <v>0</v>
      </c>
      <c r="BV90" s="359">
        <v>0</v>
      </c>
      <c r="BW90" s="359">
        <v>0</v>
      </c>
      <c r="BX90" s="359">
        <v>0</v>
      </c>
      <c r="BY90" s="366">
        <f t="shared" si="52"/>
        <v>0</v>
      </c>
      <c r="BZ90" s="367">
        <f t="shared" si="53"/>
        <v>0</v>
      </c>
      <c r="CA90" s="359">
        <v>0</v>
      </c>
      <c r="CB90" s="359">
        <v>0</v>
      </c>
      <c r="CC90" s="359">
        <v>0</v>
      </c>
      <c r="CD90" s="366">
        <f t="shared" si="54"/>
        <v>0</v>
      </c>
      <c r="CE90" s="367">
        <f t="shared" si="55"/>
        <v>0</v>
      </c>
      <c r="CF90" s="368">
        <f t="shared" si="56"/>
        <v>0</v>
      </c>
      <c r="CG90" s="359">
        <f t="shared" si="41"/>
        <v>0</v>
      </c>
      <c r="CH90" s="369"/>
      <c r="CI90" s="369"/>
      <c r="CJ90" s="370">
        <v>0</v>
      </c>
      <c r="CK90" s="370">
        <v>0</v>
      </c>
      <c r="CL90" s="372">
        <v>0</v>
      </c>
      <c r="CM90" s="374">
        <v>0</v>
      </c>
      <c r="CN90" s="374">
        <f t="shared" si="57"/>
        <v>0</v>
      </c>
      <c r="CO90" s="370">
        <f t="shared" si="42"/>
        <v>0</v>
      </c>
      <c r="CP90" s="370">
        <v>0</v>
      </c>
      <c r="CQ90" s="370">
        <v>0</v>
      </c>
      <c r="CR90" s="372">
        <v>0</v>
      </c>
      <c r="CS90" s="374">
        <v>0</v>
      </c>
      <c r="CT90" s="375">
        <f t="shared" si="58"/>
        <v>0</v>
      </c>
      <c r="CU90" s="370">
        <f t="shared" si="43"/>
        <v>0</v>
      </c>
      <c r="CV90" s="370">
        <v>0</v>
      </c>
      <c r="CW90" s="370">
        <v>0</v>
      </c>
      <c r="CX90" s="372">
        <v>0</v>
      </c>
      <c r="CY90" s="374">
        <v>0</v>
      </c>
      <c r="CZ90" s="375">
        <f t="shared" si="59"/>
        <v>0</v>
      </c>
      <c r="DA90" s="370">
        <f t="shared" si="44"/>
        <v>0</v>
      </c>
      <c r="DB90" s="370">
        <v>0</v>
      </c>
      <c r="DC90" s="370">
        <v>0</v>
      </c>
      <c r="DD90" s="372">
        <v>0</v>
      </c>
      <c r="DE90" s="374">
        <v>0</v>
      </c>
      <c r="DF90" s="375">
        <f t="shared" si="71"/>
        <v>0</v>
      </c>
      <c r="DG90" s="370">
        <f t="shared" si="45"/>
        <v>0</v>
      </c>
      <c r="DH90" s="376">
        <f t="shared" si="60"/>
        <v>0</v>
      </c>
      <c r="DI90" s="376">
        <f t="shared" si="72"/>
        <v>0</v>
      </c>
      <c r="DJ90" s="370">
        <f t="shared" si="46"/>
        <v>0</v>
      </c>
      <c r="DK90" s="370"/>
      <c r="DL90" s="377">
        <f t="shared" si="61"/>
        <v>0</v>
      </c>
      <c r="DM90" s="370">
        <f t="shared" si="62"/>
        <v>0</v>
      </c>
      <c r="DN90" s="370">
        <f t="shared" si="63"/>
        <v>0</v>
      </c>
      <c r="DO90" s="370">
        <f t="shared" si="64"/>
        <v>0</v>
      </c>
      <c r="DP90" s="370">
        <f t="shared" si="65"/>
        <v>0</v>
      </c>
      <c r="DQ90" s="378">
        <f t="shared" si="66"/>
        <v>0</v>
      </c>
      <c r="DR90" s="370">
        <f t="shared" si="67"/>
        <v>0</v>
      </c>
      <c r="DS90" s="370">
        <f t="shared" si="68"/>
        <v>0</v>
      </c>
      <c r="DT90" s="370">
        <f t="shared" si="69"/>
        <v>0</v>
      </c>
      <c r="DU90" s="370">
        <f t="shared" si="70"/>
        <v>0</v>
      </c>
      <c r="DW90" s="300">
        <v>0</v>
      </c>
      <c r="DX90" s="300">
        <v>0</v>
      </c>
      <c r="DY90" s="300">
        <v>0</v>
      </c>
      <c r="DZ90" s="381">
        <f t="shared" si="73"/>
        <v>190800</v>
      </c>
      <c r="EA90" s="382">
        <f t="shared" si="74"/>
        <v>2310800</v>
      </c>
      <c r="EB90" s="608"/>
      <c r="EC90" s="280" t="s">
        <v>1176</v>
      </c>
    </row>
    <row r="91" spans="1:133" ht="195" hidden="1" customHeight="1" thickTop="1" thickBot="1">
      <c r="A91" s="133">
        <v>1</v>
      </c>
      <c r="B91" s="411" t="s">
        <v>6</v>
      </c>
      <c r="C91" s="135" t="s">
        <v>304</v>
      </c>
      <c r="D91" s="135" t="s">
        <v>305</v>
      </c>
      <c r="E91" s="412" t="s">
        <v>114</v>
      </c>
      <c r="F91" s="347" t="s">
        <v>306</v>
      </c>
      <c r="G91" s="412" t="s">
        <v>531</v>
      </c>
      <c r="H91" s="347" t="s">
        <v>534</v>
      </c>
      <c r="I91" s="347" t="s">
        <v>960</v>
      </c>
      <c r="J91" s="32">
        <v>54</v>
      </c>
      <c r="K91" s="348" t="s">
        <v>970</v>
      </c>
      <c r="L91" s="40" t="s">
        <v>542</v>
      </c>
      <c r="M91" s="40" t="s">
        <v>963</v>
      </c>
      <c r="N91" s="349" t="s">
        <v>11</v>
      </c>
      <c r="O91" s="350">
        <v>19</v>
      </c>
      <c r="P91" s="39" t="s">
        <v>19</v>
      </c>
      <c r="Q91" s="32">
        <v>1905</v>
      </c>
      <c r="R91" s="32">
        <v>1905005</v>
      </c>
      <c r="S91" s="39" t="s">
        <v>55</v>
      </c>
      <c r="T91" s="39" t="s">
        <v>543</v>
      </c>
      <c r="U91" s="32">
        <v>190500500</v>
      </c>
      <c r="V91" s="39" t="s">
        <v>55</v>
      </c>
      <c r="W91" s="417" t="s">
        <v>316</v>
      </c>
      <c r="X91" s="417"/>
      <c r="Y91" s="417"/>
      <c r="Z91" s="417"/>
      <c r="AA91" s="464" t="e">
        <f>BE91+#REF!+BE93</f>
        <v>#REF!</v>
      </c>
      <c r="AB91" s="417"/>
      <c r="AC91" s="417"/>
      <c r="AD91" s="417"/>
      <c r="AE91" s="417"/>
      <c r="AF91" s="417"/>
      <c r="AG91" s="417"/>
      <c r="AH91" s="356" t="e">
        <f t="shared" si="40"/>
        <v>#REF!</v>
      </c>
      <c r="AI91" s="357" t="s">
        <v>227</v>
      </c>
      <c r="AJ91" s="80">
        <v>1</v>
      </c>
      <c r="AK91" s="80">
        <v>1</v>
      </c>
      <c r="AL91" s="80">
        <v>1</v>
      </c>
      <c r="AM91" s="80">
        <v>1</v>
      </c>
      <c r="AN91" s="80">
        <v>1</v>
      </c>
      <c r="AO91" s="358">
        <v>1</v>
      </c>
      <c r="AP91" s="33">
        <f t="shared" si="47"/>
        <v>100</v>
      </c>
      <c r="AQ91" s="359" t="s">
        <v>707</v>
      </c>
      <c r="AR91" s="25">
        <v>0</v>
      </c>
      <c r="AS91" s="25">
        <v>10</v>
      </c>
      <c r="AT91" s="25">
        <v>45</v>
      </c>
      <c r="AU91" s="25">
        <v>45</v>
      </c>
      <c r="AV91" s="392" t="s">
        <v>779</v>
      </c>
      <c r="AW91" s="392" t="s">
        <v>830</v>
      </c>
      <c r="AX91" s="40" t="s">
        <v>971</v>
      </c>
      <c r="AY91" s="32">
        <v>512</v>
      </c>
      <c r="AZ91" s="39" t="s">
        <v>729</v>
      </c>
      <c r="BA91" s="40" t="s">
        <v>55</v>
      </c>
      <c r="BB91" s="360" t="s">
        <v>972</v>
      </c>
      <c r="BC91" s="398" t="s">
        <v>748</v>
      </c>
      <c r="BD91" s="399" t="s">
        <v>749</v>
      </c>
      <c r="BE91" s="391">
        <v>330400000</v>
      </c>
      <c r="BF91" s="363" t="s">
        <v>965</v>
      </c>
      <c r="BG91" s="364" t="s">
        <v>966</v>
      </c>
      <c r="BH91" s="463" t="s">
        <v>154</v>
      </c>
      <c r="BI91" s="365" t="s">
        <v>967</v>
      </c>
      <c r="BJ91" s="26" t="s">
        <v>968</v>
      </c>
      <c r="BK91" s="26" t="s">
        <v>969</v>
      </c>
      <c r="BL91" s="359">
        <v>0</v>
      </c>
      <c r="BM91" s="359">
        <v>0</v>
      </c>
      <c r="BN91" s="359">
        <v>0</v>
      </c>
      <c r="BO91" s="366">
        <f t="shared" si="48"/>
        <v>0</v>
      </c>
      <c r="BP91" s="367">
        <f t="shared" si="49"/>
        <v>0</v>
      </c>
      <c r="BQ91" s="359">
        <v>0</v>
      </c>
      <c r="BR91" s="413">
        <v>12.5</v>
      </c>
      <c r="BS91" s="413">
        <v>12.5</v>
      </c>
      <c r="BT91" s="366">
        <f t="shared" si="50"/>
        <v>25</v>
      </c>
      <c r="BU91" s="367">
        <f t="shared" si="51"/>
        <v>0.25</v>
      </c>
      <c r="BV91" s="359">
        <v>12.5</v>
      </c>
      <c r="BW91" s="359">
        <v>12.5</v>
      </c>
      <c r="BX91" s="359">
        <v>12.5</v>
      </c>
      <c r="BY91" s="366">
        <f t="shared" si="52"/>
        <v>37.5</v>
      </c>
      <c r="BZ91" s="367">
        <f t="shared" si="53"/>
        <v>0.375</v>
      </c>
      <c r="CA91" s="359">
        <v>0</v>
      </c>
      <c r="CB91" s="359">
        <v>0</v>
      </c>
      <c r="CC91" s="359">
        <v>0</v>
      </c>
      <c r="CD91" s="366">
        <f t="shared" si="54"/>
        <v>0</v>
      </c>
      <c r="CE91" s="367">
        <f t="shared" si="55"/>
        <v>0</v>
      </c>
      <c r="CF91" s="368">
        <f t="shared" si="56"/>
        <v>62.5</v>
      </c>
      <c r="CG91" s="359">
        <f t="shared" si="41"/>
        <v>0.625</v>
      </c>
      <c r="CH91" s="369"/>
      <c r="CI91" s="369"/>
      <c r="CJ91" s="370">
        <v>0</v>
      </c>
      <c r="CK91" s="370">
        <v>0</v>
      </c>
      <c r="CL91" s="372">
        <v>0</v>
      </c>
      <c r="CM91" s="374">
        <v>0</v>
      </c>
      <c r="CN91" s="374">
        <f t="shared" si="57"/>
        <v>0</v>
      </c>
      <c r="CO91" s="370">
        <f t="shared" si="42"/>
        <v>0</v>
      </c>
      <c r="CP91" s="370">
        <v>0</v>
      </c>
      <c r="CQ91" s="370">
        <v>0</v>
      </c>
      <c r="CR91" s="372">
        <v>45095454.539999999</v>
      </c>
      <c r="CS91" s="374">
        <v>330400000</v>
      </c>
      <c r="CT91" s="375">
        <f t="shared" si="58"/>
        <v>45095454.539999999</v>
      </c>
      <c r="CU91" s="370">
        <f t="shared" si="43"/>
        <v>0.13648745320823244</v>
      </c>
      <c r="CV91" s="372">
        <v>45095454.539999999</v>
      </c>
      <c r="CW91" s="370">
        <v>0</v>
      </c>
      <c r="CX91" s="372">
        <f>45095454.54*2</f>
        <v>90190909.079999998</v>
      </c>
      <c r="CY91" s="374">
        <v>0</v>
      </c>
      <c r="CZ91" s="375">
        <f t="shared" si="59"/>
        <v>135286363.62</v>
      </c>
      <c r="DA91" s="370">
        <f t="shared" si="44"/>
        <v>0.40946235962469735</v>
      </c>
      <c r="DB91" s="372">
        <v>45095454.539999999</v>
      </c>
      <c r="DC91" s="372">
        <v>45095454.539999999</v>
      </c>
      <c r="DD91" s="372">
        <v>0</v>
      </c>
      <c r="DE91" s="374">
        <v>0</v>
      </c>
      <c r="DF91" s="375">
        <f t="shared" si="71"/>
        <v>90190909.079999998</v>
      </c>
      <c r="DG91" s="370">
        <f t="shared" si="45"/>
        <v>0.27297490641646488</v>
      </c>
      <c r="DH91" s="376">
        <f t="shared" si="60"/>
        <v>330400000</v>
      </c>
      <c r="DI91" s="376">
        <f t="shared" si="72"/>
        <v>270572727.24000001</v>
      </c>
      <c r="DJ91" s="370">
        <f t="shared" si="46"/>
        <v>1</v>
      </c>
      <c r="DK91" s="370"/>
      <c r="DL91" s="377">
        <f t="shared" si="61"/>
        <v>330400000</v>
      </c>
      <c r="DM91" s="370">
        <f t="shared" si="62"/>
        <v>0</v>
      </c>
      <c r="DN91" s="370">
        <f t="shared" si="63"/>
        <v>330400000</v>
      </c>
      <c r="DO91" s="370">
        <f t="shared" si="64"/>
        <v>0</v>
      </c>
      <c r="DP91" s="370">
        <f t="shared" si="65"/>
        <v>0</v>
      </c>
      <c r="DQ91" s="378">
        <f t="shared" si="66"/>
        <v>270572727.24000001</v>
      </c>
      <c r="DR91" s="370">
        <f t="shared" si="67"/>
        <v>0</v>
      </c>
      <c r="DS91" s="370">
        <f t="shared" si="68"/>
        <v>45095454.539999999</v>
      </c>
      <c r="DT91" s="370">
        <f t="shared" si="69"/>
        <v>135286363.62</v>
      </c>
      <c r="DU91" s="370">
        <f t="shared" si="70"/>
        <v>90190909.079999998</v>
      </c>
      <c r="DW91" s="300">
        <v>0</v>
      </c>
      <c r="DX91" s="300">
        <v>0</v>
      </c>
      <c r="DY91" s="300">
        <v>0</v>
      </c>
      <c r="DZ91" s="381">
        <f t="shared" si="73"/>
        <v>29736000</v>
      </c>
      <c r="EA91" s="382">
        <f>330400000-34880000</f>
        <v>295520000</v>
      </c>
      <c r="EB91" s="710" t="s">
        <v>1040</v>
      </c>
      <c r="EC91" s="280" t="s">
        <v>1177</v>
      </c>
    </row>
    <row r="92" spans="1:133" ht="102.75" hidden="1" customHeight="1" thickTop="1" thickBot="1">
      <c r="A92" s="133">
        <v>1</v>
      </c>
      <c r="B92" s="411" t="s">
        <v>6</v>
      </c>
      <c r="C92" s="135" t="s">
        <v>304</v>
      </c>
      <c r="D92" s="135" t="s">
        <v>305</v>
      </c>
      <c r="E92" s="412" t="s">
        <v>114</v>
      </c>
      <c r="F92" s="347" t="s">
        <v>306</v>
      </c>
      <c r="G92" s="412" t="s">
        <v>531</v>
      </c>
      <c r="H92" s="347" t="s">
        <v>534</v>
      </c>
      <c r="I92" s="347" t="s">
        <v>960</v>
      </c>
      <c r="J92" s="32">
        <v>54</v>
      </c>
      <c r="K92" s="465" t="s">
        <v>536</v>
      </c>
      <c r="L92" s="40" t="s">
        <v>542</v>
      </c>
      <c r="M92" s="40" t="s">
        <v>963</v>
      </c>
      <c r="N92" s="349" t="s">
        <v>11</v>
      </c>
      <c r="O92" s="350">
        <v>19</v>
      </c>
      <c r="P92" s="39" t="s">
        <v>19</v>
      </c>
      <c r="Q92" s="32">
        <v>1905</v>
      </c>
      <c r="R92" s="32">
        <v>1905005</v>
      </c>
      <c r="S92" s="39" t="s">
        <v>55</v>
      </c>
      <c r="T92" s="39" t="s">
        <v>543</v>
      </c>
      <c r="U92" s="32">
        <v>190500500</v>
      </c>
      <c r="V92" s="39" t="s">
        <v>55</v>
      </c>
      <c r="W92" s="417" t="s">
        <v>316</v>
      </c>
      <c r="X92" s="417"/>
      <c r="Y92" s="417"/>
      <c r="Z92" s="417"/>
      <c r="AA92" s="417"/>
      <c r="AB92" s="417"/>
      <c r="AC92" s="417"/>
      <c r="AD92" s="417"/>
      <c r="AE92" s="417"/>
      <c r="AF92" s="417"/>
      <c r="AG92" s="417"/>
      <c r="AH92" s="356">
        <f t="shared" si="40"/>
        <v>0</v>
      </c>
      <c r="AI92" s="357" t="s">
        <v>228</v>
      </c>
      <c r="AJ92" s="80">
        <v>1</v>
      </c>
      <c r="AK92" s="80">
        <v>1</v>
      </c>
      <c r="AL92" s="80">
        <v>1</v>
      </c>
      <c r="AM92" s="80">
        <v>1</v>
      </c>
      <c r="AN92" s="80">
        <v>1</v>
      </c>
      <c r="AO92" s="358">
        <v>1</v>
      </c>
      <c r="AP92" s="33">
        <f t="shared" si="47"/>
        <v>1</v>
      </c>
      <c r="AQ92" s="359" t="s">
        <v>316</v>
      </c>
      <c r="AR92" s="25">
        <v>0</v>
      </c>
      <c r="AS92" s="25">
        <v>0</v>
      </c>
      <c r="AT92" s="25">
        <v>0</v>
      </c>
      <c r="AU92" s="25">
        <v>1</v>
      </c>
      <c r="AV92" s="392" t="s">
        <v>779</v>
      </c>
      <c r="AW92" s="392" t="s">
        <v>740</v>
      </c>
      <c r="AX92" s="39" t="s">
        <v>964</v>
      </c>
      <c r="AY92" s="25">
        <v>394</v>
      </c>
      <c r="AZ92" s="39" t="s">
        <v>729</v>
      </c>
      <c r="BA92" s="40" t="s">
        <v>53</v>
      </c>
      <c r="BB92" s="360" t="s">
        <v>709</v>
      </c>
      <c r="BC92" s="453" t="s">
        <v>710</v>
      </c>
      <c r="BD92" s="84" t="s">
        <v>698</v>
      </c>
      <c r="BE92" s="391">
        <v>16900000</v>
      </c>
      <c r="BF92" s="43" t="s">
        <v>973</v>
      </c>
      <c r="BG92" s="364" t="s">
        <v>966</v>
      </c>
      <c r="BH92" s="463" t="s">
        <v>154</v>
      </c>
      <c r="BI92" s="365" t="s">
        <v>967</v>
      </c>
      <c r="BJ92" s="26" t="s">
        <v>968</v>
      </c>
      <c r="BK92" s="26" t="s">
        <v>969</v>
      </c>
      <c r="BL92" s="359">
        <v>0</v>
      </c>
      <c r="BM92" s="359">
        <v>0</v>
      </c>
      <c r="BN92" s="359">
        <v>0</v>
      </c>
      <c r="BO92" s="366">
        <f t="shared" si="48"/>
        <v>0</v>
      </c>
      <c r="BP92" s="367">
        <f t="shared" si="49"/>
        <v>0</v>
      </c>
      <c r="BQ92" s="359">
        <v>0</v>
      </c>
      <c r="BR92" s="359">
        <v>0</v>
      </c>
      <c r="BS92" s="359">
        <v>0</v>
      </c>
      <c r="BT92" s="366">
        <f t="shared" si="50"/>
        <v>0</v>
      </c>
      <c r="BU92" s="367">
        <f t="shared" si="51"/>
        <v>0</v>
      </c>
      <c r="BV92" s="359">
        <v>0</v>
      </c>
      <c r="BW92" s="359">
        <v>0</v>
      </c>
      <c r="BX92" s="359">
        <v>0</v>
      </c>
      <c r="BY92" s="366">
        <f t="shared" si="52"/>
        <v>0</v>
      </c>
      <c r="BZ92" s="367">
        <f t="shared" si="53"/>
        <v>0</v>
      </c>
      <c r="CA92" s="359">
        <v>0</v>
      </c>
      <c r="CB92" s="359">
        <v>0</v>
      </c>
      <c r="CC92" s="359">
        <v>0</v>
      </c>
      <c r="CD92" s="366">
        <f t="shared" si="54"/>
        <v>0</v>
      </c>
      <c r="CE92" s="367">
        <f t="shared" si="55"/>
        <v>0</v>
      </c>
      <c r="CF92" s="368">
        <f t="shared" si="56"/>
        <v>0</v>
      </c>
      <c r="CG92" s="359">
        <f t="shared" si="41"/>
        <v>0</v>
      </c>
      <c r="CH92" s="369"/>
      <c r="CI92" s="369"/>
      <c r="CJ92" s="370">
        <v>0</v>
      </c>
      <c r="CK92" s="370">
        <v>0</v>
      </c>
      <c r="CL92" s="372">
        <v>0</v>
      </c>
      <c r="CM92" s="374">
        <v>0</v>
      </c>
      <c r="CN92" s="374">
        <f t="shared" si="57"/>
        <v>0</v>
      </c>
      <c r="CO92" s="370">
        <f t="shared" si="42"/>
        <v>0</v>
      </c>
      <c r="CP92" s="370">
        <v>0</v>
      </c>
      <c r="CQ92" s="370">
        <v>0</v>
      </c>
      <c r="CR92" s="372">
        <v>0</v>
      </c>
      <c r="CS92" s="374">
        <v>0</v>
      </c>
      <c r="CT92" s="375">
        <f t="shared" si="58"/>
        <v>0</v>
      </c>
      <c r="CU92" s="370">
        <f t="shared" si="43"/>
        <v>0</v>
      </c>
      <c r="CV92" s="370">
        <v>0</v>
      </c>
      <c r="CW92" s="370">
        <v>0</v>
      </c>
      <c r="CX92" s="372">
        <v>0</v>
      </c>
      <c r="CY92" s="374">
        <v>0</v>
      </c>
      <c r="CZ92" s="375">
        <f t="shared" si="59"/>
        <v>0</v>
      </c>
      <c r="DA92" s="370">
        <f t="shared" si="44"/>
        <v>0</v>
      </c>
      <c r="DB92" s="370">
        <v>0</v>
      </c>
      <c r="DC92" s="370">
        <v>0</v>
      </c>
      <c r="DD92" s="372">
        <v>0</v>
      </c>
      <c r="DE92" s="374">
        <v>0</v>
      </c>
      <c r="DF92" s="375">
        <f t="shared" si="71"/>
        <v>0</v>
      </c>
      <c r="DG92" s="370">
        <f t="shared" si="45"/>
        <v>0</v>
      </c>
      <c r="DH92" s="376">
        <f t="shared" si="60"/>
        <v>0</v>
      </c>
      <c r="DI92" s="376">
        <f t="shared" si="72"/>
        <v>0</v>
      </c>
      <c r="DJ92" s="370">
        <f t="shared" si="46"/>
        <v>0</v>
      </c>
      <c r="DK92" s="370"/>
      <c r="DL92" s="377">
        <f t="shared" si="61"/>
        <v>0</v>
      </c>
      <c r="DM92" s="370">
        <f t="shared" si="62"/>
        <v>0</v>
      </c>
      <c r="DN92" s="370">
        <f t="shared" si="63"/>
        <v>0</v>
      </c>
      <c r="DO92" s="370">
        <f t="shared" si="64"/>
        <v>0</v>
      </c>
      <c r="DP92" s="370">
        <f t="shared" si="65"/>
        <v>0</v>
      </c>
      <c r="DQ92" s="378">
        <f t="shared" si="66"/>
        <v>0</v>
      </c>
      <c r="DR92" s="370">
        <f t="shared" si="67"/>
        <v>0</v>
      </c>
      <c r="DS92" s="370">
        <f t="shared" si="68"/>
        <v>0</v>
      </c>
      <c r="DT92" s="370">
        <f t="shared" si="69"/>
        <v>0</v>
      </c>
      <c r="DU92" s="370">
        <f t="shared" si="70"/>
        <v>0</v>
      </c>
      <c r="DW92" s="300">
        <v>0</v>
      </c>
      <c r="DX92" s="300">
        <v>0</v>
      </c>
      <c r="DY92" s="300">
        <v>0</v>
      </c>
      <c r="DZ92" s="381"/>
      <c r="EA92" s="382">
        <v>9766400</v>
      </c>
      <c r="EB92" s="608"/>
      <c r="EC92" s="280" t="s">
        <v>1176</v>
      </c>
    </row>
    <row r="93" spans="1:133" ht="147.75" hidden="1" customHeight="1" thickTop="1" thickBot="1">
      <c r="A93" s="133">
        <v>1</v>
      </c>
      <c r="B93" s="411" t="s">
        <v>6</v>
      </c>
      <c r="C93" s="135" t="s">
        <v>304</v>
      </c>
      <c r="D93" s="135" t="s">
        <v>305</v>
      </c>
      <c r="E93" s="412" t="s">
        <v>114</v>
      </c>
      <c r="F93" s="347" t="s">
        <v>306</v>
      </c>
      <c r="G93" s="412" t="s">
        <v>531</v>
      </c>
      <c r="H93" s="347" t="s">
        <v>534</v>
      </c>
      <c r="I93" s="347" t="s">
        <v>960</v>
      </c>
      <c r="J93" s="32">
        <v>54</v>
      </c>
      <c r="K93" s="348" t="s">
        <v>970</v>
      </c>
      <c r="L93" s="40" t="s">
        <v>542</v>
      </c>
      <c r="M93" s="40" t="s">
        <v>963</v>
      </c>
      <c r="N93" s="349" t="s">
        <v>11</v>
      </c>
      <c r="O93" s="350">
        <v>19</v>
      </c>
      <c r="P93" s="39" t="s">
        <v>19</v>
      </c>
      <c r="Q93" s="32">
        <v>1905</v>
      </c>
      <c r="R93" s="32">
        <v>1905005</v>
      </c>
      <c r="S93" s="39" t="s">
        <v>55</v>
      </c>
      <c r="T93" s="39" t="s">
        <v>543</v>
      </c>
      <c r="U93" s="32">
        <v>190500500</v>
      </c>
      <c r="V93" s="39" t="s">
        <v>55</v>
      </c>
      <c r="W93" s="417" t="s">
        <v>316</v>
      </c>
      <c r="X93" s="417"/>
      <c r="Y93" s="417"/>
      <c r="Z93" s="417"/>
      <c r="AA93" s="417"/>
      <c r="AB93" s="417"/>
      <c r="AC93" s="417"/>
      <c r="AD93" s="417"/>
      <c r="AE93" s="417"/>
      <c r="AF93" s="417"/>
      <c r="AG93" s="417"/>
      <c r="AH93" s="356">
        <f t="shared" si="40"/>
        <v>0</v>
      </c>
      <c r="AI93" s="357" t="s">
        <v>229</v>
      </c>
      <c r="AJ93" s="80">
        <v>1</v>
      </c>
      <c r="AK93" s="80">
        <v>1</v>
      </c>
      <c r="AL93" s="80">
        <v>1</v>
      </c>
      <c r="AM93" s="80">
        <v>1</v>
      </c>
      <c r="AN93" s="80">
        <v>1</v>
      </c>
      <c r="AO93" s="358">
        <v>1</v>
      </c>
      <c r="AP93" s="33">
        <f t="shared" si="47"/>
        <v>100</v>
      </c>
      <c r="AQ93" s="359" t="s">
        <v>707</v>
      </c>
      <c r="AR93" s="25">
        <v>0</v>
      </c>
      <c r="AS93" s="25">
        <v>10</v>
      </c>
      <c r="AT93" s="25">
        <v>45</v>
      </c>
      <c r="AU93" s="25">
        <v>45</v>
      </c>
      <c r="AV93" s="392" t="s">
        <v>779</v>
      </c>
      <c r="AW93" s="392" t="s">
        <v>830</v>
      </c>
      <c r="AX93" s="40" t="s">
        <v>971</v>
      </c>
      <c r="AY93" s="32">
        <v>512</v>
      </c>
      <c r="AZ93" s="39" t="s">
        <v>729</v>
      </c>
      <c r="BA93" s="40" t="s">
        <v>55</v>
      </c>
      <c r="BB93" s="360" t="s">
        <v>972</v>
      </c>
      <c r="BC93" s="398" t="s">
        <v>748</v>
      </c>
      <c r="BD93" s="399" t="s">
        <v>749</v>
      </c>
      <c r="BE93" s="391">
        <v>38000000</v>
      </c>
      <c r="BF93" s="363" t="s">
        <v>974</v>
      </c>
      <c r="BG93" s="364" t="s">
        <v>966</v>
      </c>
      <c r="BH93" s="463" t="s">
        <v>154</v>
      </c>
      <c r="BI93" s="365" t="s">
        <v>967</v>
      </c>
      <c r="BJ93" s="26" t="s">
        <v>968</v>
      </c>
      <c r="BK93" s="26" t="s">
        <v>969</v>
      </c>
      <c r="BL93" s="359">
        <v>0</v>
      </c>
      <c r="BM93" s="359">
        <v>0</v>
      </c>
      <c r="BN93" s="359">
        <v>0</v>
      </c>
      <c r="BO93" s="366">
        <f t="shared" si="48"/>
        <v>0</v>
      </c>
      <c r="BP93" s="367">
        <f t="shared" si="49"/>
        <v>0</v>
      </c>
      <c r="BQ93" s="359">
        <v>0</v>
      </c>
      <c r="BR93" s="359">
        <v>0</v>
      </c>
      <c r="BS93" s="359">
        <v>15</v>
      </c>
      <c r="BT93" s="366">
        <f t="shared" si="50"/>
        <v>15</v>
      </c>
      <c r="BU93" s="367">
        <f t="shared" si="51"/>
        <v>0.15</v>
      </c>
      <c r="BV93" s="359">
        <v>15</v>
      </c>
      <c r="BW93" s="359">
        <v>15</v>
      </c>
      <c r="BX93" s="359">
        <v>15</v>
      </c>
      <c r="BY93" s="366">
        <f t="shared" si="52"/>
        <v>45</v>
      </c>
      <c r="BZ93" s="367">
        <f t="shared" si="53"/>
        <v>0.45</v>
      </c>
      <c r="CA93" s="359">
        <v>0</v>
      </c>
      <c r="CB93" s="359">
        <v>0</v>
      </c>
      <c r="CC93" s="359">
        <v>0</v>
      </c>
      <c r="CD93" s="366">
        <f t="shared" si="54"/>
        <v>0</v>
      </c>
      <c r="CE93" s="367">
        <f t="shared" si="55"/>
        <v>0</v>
      </c>
      <c r="CF93" s="368">
        <f t="shared" si="56"/>
        <v>60</v>
      </c>
      <c r="CG93" s="359">
        <f t="shared" si="41"/>
        <v>0.6</v>
      </c>
      <c r="CH93" s="369"/>
      <c r="CI93" s="369"/>
      <c r="CJ93" s="370">
        <v>0</v>
      </c>
      <c r="CK93" s="370">
        <v>0</v>
      </c>
      <c r="CL93" s="372">
        <v>0</v>
      </c>
      <c r="CM93" s="374">
        <v>0</v>
      </c>
      <c r="CN93" s="374">
        <f t="shared" si="57"/>
        <v>0</v>
      </c>
      <c r="CO93" s="370">
        <f t="shared" si="42"/>
        <v>0</v>
      </c>
      <c r="CP93" s="370">
        <v>0</v>
      </c>
      <c r="CQ93" s="370">
        <v>0</v>
      </c>
      <c r="CR93" s="372">
        <v>0</v>
      </c>
      <c r="CS93" s="374">
        <v>38000000</v>
      </c>
      <c r="CT93" s="375">
        <f t="shared" si="58"/>
        <v>0</v>
      </c>
      <c r="CU93" s="370">
        <f t="shared" si="43"/>
        <v>0</v>
      </c>
      <c r="CV93" s="370">
        <v>5428571</v>
      </c>
      <c r="CW93" s="370">
        <v>5428571</v>
      </c>
      <c r="CX93" s="370">
        <v>0</v>
      </c>
      <c r="CY93" s="374">
        <v>0</v>
      </c>
      <c r="CZ93" s="375">
        <f t="shared" si="59"/>
        <v>10857142</v>
      </c>
      <c r="DA93" s="370">
        <f t="shared" si="44"/>
        <v>0.28571426315789472</v>
      </c>
      <c r="DB93" s="370">
        <f>5428571*2</f>
        <v>10857142</v>
      </c>
      <c r="DC93" s="370">
        <v>0</v>
      </c>
      <c r="DD93" s="372">
        <v>0</v>
      </c>
      <c r="DE93" s="374">
        <v>0</v>
      </c>
      <c r="DF93" s="375">
        <f t="shared" si="71"/>
        <v>10857142</v>
      </c>
      <c r="DG93" s="370">
        <f t="shared" si="45"/>
        <v>0.28571426315789472</v>
      </c>
      <c r="DH93" s="376">
        <f t="shared" si="60"/>
        <v>38000000</v>
      </c>
      <c r="DI93" s="376">
        <f t="shared" si="72"/>
        <v>21714284</v>
      </c>
      <c r="DJ93" s="370">
        <f t="shared" si="46"/>
        <v>1</v>
      </c>
      <c r="DK93" s="370"/>
      <c r="DL93" s="377">
        <f t="shared" si="61"/>
        <v>38000000</v>
      </c>
      <c r="DM93" s="370">
        <f t="shared" si="62"/>
        <v>0</v>
      </c>
      <c r="DN93" s="370">
        <f t="shared" si="63"/>
        <v>38000000</v>
      </c>
      <c r="DO93" s="370">
        <f t="shared" si="64"/>
        <v>0</v>
      </c>
      <c r="DP93" s="370">
        <f t="shared" si="65"/>
        <v>0</v>
      </c>
      <c r="DQ93" s="378">
        <f t="shared" si="66"/>
        <v>21714284</v>
      </c>
      <c r="DR93" s="370">
        <f t="shared" si="67"/>
        <v>0</v>
      </c>
      <c r="DS93" s="370">
        <f t="shared" si="68"/>
        <v>0</v>
      </c>
      <c r="DT93" s="370">
        <f t="shared" si="69"/>
        <v>10857142</v>
      </c>
      <c r="DU93" s="370">
        <f t="shared" si="70"/>
        <v>10857142</v>
      </c>
      <c r="DW93" s="300">
        <v>0</v>
      </c>
      <c r="DX93" s="300">
        <v>0</v>
      </c>
      <c r="DY93" s="300">
        <v>0</v>
      </c>
      <c r="DZ93" s="381">
        <f t="shared" si="73"/>
        <v>3420000</v>
      </c>
      <c r="EA93" s="382">
        <f t="shared" si="74"/>
        <v>41420000</v>
      </c>
      <c r="EB93" s="710" t="s">
        <v>1040</v>
      </c>
    </row>
    <row r="94" spans="1:133" ht="115.5" hidden="1" customHeight="1" thickTop="1" thickBot="1">
      <c r="A94" s="133"/>
      <c r="B94" s="411"/>
      <c r="C94" s="135"/>
      <c r="D94" s="135"/>
      <c r="E94" s="412"/>
      <c r="F94" s="347"/>
      <c r="G94" s="412"/>
      <c r="H94" s="347"/>
      <c r="I94" s="347"/>
      <c r="J94" s="32"/>
      <c r="K94" s="348" t="s">
        <v>550</v>
      </c>
      <c r="L94" s="40"/>
      <c r="M94" s="40"/>
      <c r="N94" s="349" t="s">
        <v>11</v>
      </c>
      <c r="O94" s="350">
        <v>19</v>
      </c>
      <c r="P94" s="39" t="s">
        <v>12</v>
      </c>
      <c r="Q94" s="32">
        <v>1906</v>
      </c>
      <c r="R94" s="351">
        <v>1906004</v>
      </c>
      <c r="S94" s="352" t="s">
        <v>13</v>
      </c>
      <c r="T94" s="383" t="s">
        <v>314</v>
      </c>
      <c r="U94" s="351" t="s">
        <v>315</v>
      </c>
      <c r="V94" s="354" t="s">
        <v>14</v>
      </c>
      <c r="W94" s="355" t="s">
        <v>316</v>
      </c>
      <c r="X94" s="417"/>
      <c r="Y94" s="417"/>
      <c r="Z94" s="417"/>
      <c r="AA94" s="417"/>
      <c r="AB94" s="417"/>
      <c r="AC94" s="449">
        <f>BE94</f>
        <v>3307200</v>
      </c>
      <c r="AD94" s="417"/>
      <c r="AE94" s="417"/>
      <c r="AF94" s="417"/>
      <c r="AG94" s="417"/>
      <c r="AH94" s="356">
        <f t="shared" si="40"/>
        <v>3307200</v>
      </c>
      <c r="AI94" s="466" t="s">
        <v>552</v>
      </c>
      <c r="AJ94" s="80"/>
      <c r="AK94" s="80"/>
      <c r="AL94" s="80"/>
      <c r="AM94" s="80"/>
      <c r="AN94" s="80"/>
      <c r="AO94" s="358"/>
      <c r="AP94" s="33">
        <v>100</v>
      </c>
      <c r="AQ94" s="359"/>
      <c r="AR94" s="25">
        <v>25</v>
      </c>
      <c r="AS94" s="25">
        <v>25</v>
      </c>
      <c r="AT94" s="25">
        <v>25</v>
      </c>
      <c r="AU94" s="25">
        <v>25</v>
      </c>
      <c r="AV94" s="39" t="s">
        <v>678</v>
      </c>
      <c r="AW94" s="39" t="s">
        <v>679</v>
      </c>
      <c r="AX94" s="39" t="s">
        <v>975</v>
      </c>
      <c r="AY94" s="25">
        <v>403</v>
      </c>
      <c r="AZ94" s="39" t="s">
        <v>681</v>
      </c>
      <c r="BA94" s="40" t="s">
        <v>13</v>
      </c>
      <c r="BB94" s="360" t="s">
        <v>709</v>
      </c>
      <c r="BC94" s="361" t="s">
        <v>710</v>
      </c>
      <c r="BD94" s="40" t="s">
        <v>698</v>
      </c>
      <c r="BE94" s="391">
        <v>3307200</v>
      </c>
      <c r="BF94" s="393" t="s">
        <v>976</v>
      </c>
      <c r="BG94" s="364" t="s">
        <v>977</v>
      </c>
      <c r="BH94" s="463" t="s">
        <v>154</v>
      </c>
      <c r="BI94" s="365" t="s">
        <v>978</v>
      </c>
      <c r="BJ94" s="26" t="s">
        <v>979</v>
      </c>
      <c r="BK94" s="26" t="s">
        <v>980</v>
      </c>
      <c r="BL94" s="359">
        <v>0</v>
      </c>
      <c r="BM94" s="359">
        <v>0</v>
      </c>
      <c r="BN94" s="359">
        <v>0</v>
      </c>
      <c r="BO94" s="366">
        <f t="shared" si="48"/>
        <v>0</v>
      </c>
      <c r="BP94" s="367">
        <f t="shared" si="49"/>
        <v>0</v>
      </c>
      <c r="BQ94" s="359">
        <v>0</v>
      </c>
      <c r="BR94" s="359">
        <v>0</v>
      </c>
      <c r="BS94" s="359">
        <v>0</v>
      </c>
      <c r="BT94" s="366">
        <f t="shared" si="50"/>
        <v>0</v>
      </c>
      <c r="BU94" s="367">
        <f t="shared" si="51"/>
        <v>0</v>
      </c>
      <c r="BV94" s="359">
        <v>0</v>
      </c>
      <c r="BW94" s="359">
        <v>0</v>
      </c>
      <c r="BX94" s="359">
        <v>0</v>
      </c>
      <c r="BY94" s="366">
        <f t="shared" si="52"/>
        <v>0</v>
      </c>
      <c r="BZ94" s="367">
        <f t="shared" si="53"/>
        <v>0</v>
      </c>
      <c r="CA94" s="359">
        <v>0</v>
      </c>
      <c r="CB94" s="359">
        <v>0</v>
      </c>
      <c r="CC94" s="359">
        <v>0</v>
      </c>
      <c r="CD94" s="366">
        <f t="shared" si="54"/>
        <v>0</v>
      </c>
      <c r="CE94" s="367">
        <f t="shared" si="55"/>
        <v>0</v>
      </c>
      <c r="CF94" s="368">
        <f t="shared" si="56"/>
        <v>0</v>
      </c>
      <c r="CG94" s="359">
        <f t="shared" si="41"/>
        <v>0</v>
      </c>
      <c r="CH94" s="369"/>
      <c r="CI94" s="369"/>
      <c r="CJ94" s="370">
        <v>0</v>
      </c>
      <c r="CK94" s="370">
        <v>0</v>
      </c>
      <c r="CL94" s="372">
        <v>0</v>
      </c>
      <c r="CM94" s="374">
        <v>0</v>
      </c>
      <c r="CN94" s="374">
        <f t="shared" si="57"/>
        <v>0</v>
      </c>
      <c r="CO94" s="370">
        <f t="shared" si="42"/>
        <v>0</v>
      </c>
      <c r="CP94" s="370">
        <v>0</v>
      </c>
      <c r="CQ94" s="370">
        <v>0</v>
      </c>
      <c r="CR94" s="372">
        <v>0</v>
      </c>
      <c r="CS94" s="374">
        <v>0</v>
      </c>
      <c r="CT94" s="375">
        <f t="shared" si="58"/>
        <v>0</v>
      </c>
      <c r="CU94" s="370">
        <f t="shared" si="43"/>
        <v>0</v>
      </c>
      <c r="CV94" s="370">
        <v>0</v>
      </c>
      <c r="CW94" s="370">
        <v>0</v>
      </c>
      <c r="CX94" s="372">
        <v>0</v>
      </c>
      <c r="CY94" s="374">
        <v>0</v>
      </c>
      <c r="CZ94" s="375">
        <f t="shared" si="59"/>
        <v>0</v>
      </c>
      <c r="DA94" s="370">
        <f t="shared" si="44"/>
        <v>0</v>
      </c>
      <c r="DB94" s="370">
        <v>0</v>
      </c>
      <c r="DC94" s="370">
        <v>0</v>
      </c>
      <c r="DD94" s="372">
        <v>0</v>
      </c>
      <c r="DE94" s="374">
        <v>0</v>
      </c>
      <c r="DF94" s="375">
        <f t="shared" si="71"/>
        <v>0</v>
      </c>
      <c r="DG94" s="370">
        <f t="shared" si="45"/>
        <v>0</v>
      </c>
      <c r="DH94" s="376">
        <f t="shared" si="60"/>
        <v>0</v>
      </c>
      <c r="DI94" s="376">
        <f t="shared" si="72"/>
        <v>0</v>
      </c>
      <c r="DJ94" s="370">
        <f t="shared" si="46"/>
        <v>0</v>
      </c>
      <c r="DK94" s="370"/>
      <c r="DL94" s="377">
        <f t="shared" si="61"/>
        <v>0</v>
      </c>
      <c r="DM94" s="370">
        <f t="shared" si="62"/>
        <v>0</v>
      </c>
      <c r="DN94" s="370">
        <f t="shared" si="63"/>
        <v>0</v>
      </c>
      <c r="DO94" s="370">
        <f t="shared" si="64"/>
        <v>0</v>
      </c>
      <c r="DP94" s="370">
        <f t="shared" si="65"/>
        <v>0</v>
      </c>
      <c r="DQ94" s="378">
        <f t="shared" si="66"/>
        <v>0</v>
      </c>
      <c r="DR94" s="370">
        <f t="shared" si="67"/>
        <v>0</v>
      </c>
      <c r="DS94" s="370">
        <f t="shared" si="68"/>
        <v>0</v>
      </c>
      <c r="DT94" s="370">
        <f t="shared" si="69"/>
        <v>0</v>
      </c>
      <c r="DU94" s="370">
        <f t="shared" si="70"/>
        <v>0</v>
      </c>
      <c r="DW94" s="300">
        <v>0</v>
      </c>
      <c r="DX94" s="300">
        <v>0</v>
      </c>
      <c r="DY94" s="300">
        <v>0</v>
      </c>
      <c r="DZ94" s="381">
        <f t="shared" si="73"/>
        <v>297648</v>
      </c>
      <c r="EA94" s="382">
        <f t="shared" si="74"/>
        <v>3604848</v>
      </c>
      <c r="EB94" s="608"/>
      <c r="EC94" s="280" t="s">
        <v>1176</v>
      </c>
    </row>
    <row r="95" spans="1:133" ht="102" hidden="1" customHeight="1" thickTop="1" thickBot="1">
      <c r="A95" s="133">
        <v>1</v>
      </c>
      <c r="B95" s="411" t="s">
        <v>6</v>
      </c>
      <c r="C95" s="135" t="s">
        <v>304</v>
      </c>
      <c r="D95" s="135" t="s">
        <v>305</v>
      </c>
      <c r="E95" s="412" t="s">
        <v>114</v>
      </c>
      <c r="F95" s="347" t="s">
        <v>306</v>
      </c>
      <c r="G95" s="467" t="s">
        <v>553</v>
      </c>
      <c r="H95" s="347" t="s">
        <v>556</v>
      </c>
      <c r="I95" s="347" t="s">
        <v>981</v>
      </c>
      <c r="J95" s="32">
        <v>56</v>
      </c>
      <c r="K95" s="348" t="s">
        <v>982</v>
      </c>
      <c r="L95" s="349" t="s">
        <v>983</v>
      </c>
      <c r="M95" s="349" t="s">
        <v>677</v>
      </c>
      <c r="N95" s="349" t="s">
        <v>11</v>
      </c>
      <c r="O95" s="350">
        <v>19</v>
      </c>
      <c r="P95" s="468" t="s">
        <v>23</v>
      </c>
      <c r="Q95" s="350">
        <v>1903</v>
      </c>
      <c r="R95" s="351">
        <v>1903034</v>
      </c>
      <c r="S95" s="352" t="s">
        <v>8</v>
      </c>
      <c r="T95" s="383" t="s">
        <v>560</v>
      </c>
      <c r="U95" s="351">
        <v>190303400</v>
      </c>
      <c r="V95" s="383" t="s">
        <v>31</v>
      </c>
      <c r="W95" s="417" t="s">
        <v>316</v>
      </c>
      <c r="X95" s="417"/>
      <c r="Y95" s="417"/>
      <c r="Z95" s="417"/>
      <c r="AA95" s="417"/>
      <c r="AB95" s="417"/>
      <c r="AC95" s="417"/>
      <c r="AD95" s="417"/>
      <c r="AE95" s="417"/>
      <c r="AF95" s="417"/>
      <c r="AG95" s="417"/>
      <c r="AH95" s="356">
        <f t="shared" si="40"/>
        <v>0</v>
      </c>
      <c r="AI95" s="357" t="s">
        <v>162</v>
      </c>
      <c r="AJ95" s="80">
        <v>1</v>
      </c>
      <c r="AK95" s="80">
        <v>1</v>
      </c>
      <c r="AL95" s="80">
        <v>1</v>
      </c>
      <c r="AM95" s="80">
        <v>1</v>
      </c>
      <c r="AN95" s="80">
        <v>1</v>
      </c>
      <c r="AO95" s="358">
        <v>1</v>
      </c>
      <c r="AP95" s="33">
        <f t="shared" si="47"/>
        <v>100</v>
      </c>
      <c r="AQ95" s="359" t="s">
        <v>707</v>
      </c>
      <c r="AR95" s="25">
        <v>0</v>
      </c>
      <c r="AS95" s="25">
        <v>30</v>
      </c>
      <c r="AT95" s="25">
        <v>30</v>
      </c>
      <c r="AU95" s="25">
        <v>40</v>
      </c>
      <c r="AV95" s="39" t="s">
        <v>678</v>
      </c>
      <c r="AW95" s="39" t="s">
        <v>984</v>
      </c>
      <c r="AX95" s="39" t="s">
        <v>985</v>
      </c>
      <c r="AY95" s="25">
        <v>370</v>
      </c>
      <c r="AZ95" s="39" t="s">
        <v>762</v>
      </c>
      <c r="BA95" s="40" t="s">
        <v>8</v>
      </c>
      <c r="BB95" s="360" t="s">
        <v>709</v>
      </c>
      <c r="BC95" s="361" t="s">
        <v>710</v>
      </c>
      <c r="BD95" s="40" t="s">
        <v>698</v>
      </c>
      <c r="BE95" s="391">
        <v>56350000</v>
      </c>
      <c r="BF95" s="469" t="s">
        <v>986</v>
      </c>
      <c r="BG95" s="470" t="s">
        <v>987</v>
      </c>
      <c r="BH95" s="470"/>
      <c r="BI95" s="25" t="s">
        <v>988</v>
      </c>
      <c r="BJ95" s="26" t="s">
        <v>968</v>
      </c>
      <c r="BK95" s="26" t="s">
        <v>969</v>
      </c>
      <c r="BL95" s="359">
        <v>0</v>
      </c>
      <c r="BM95" s="359">
        <v>0</v>
      </c>
      <c r="BN95" s="359">
        <v>0</v>
      </c>
      <c r="BO95" s="366">
        <f t="shared" si="48"/>
        <v>0</v>
      </c>
      <c r="BP95" s="367">
        <f t="shared" si="49"/>
        <v>0</v>
      </c>
      <c r="BQ95" s="359">
        <v>0</v>
      </c>
      <c r="BR95" s="471">
        <v>12.5</v>
      </c>
      <c r="BS95" s="471">
        <v>12.5</v>
      </c>
      <c r="BT95" s="366">
        <f t="shared" si="50"/>
        <v>25</v>
      </c>
      <c r="BU95" s="367">
        <f t="shared" si="51"/>
        <v>0.25</v>
      </c>
      <c r="BV95" s="359">
        <v>12.5</v>
      </c>
      <c r="BW95" s="359">
        <v>12.5</v>
      </c>
      <c r="BX95" s="359">
        <v>12.5</v>
      </c>
      <c r="BY95" s="366">
        <f t="shared" si="52"/>
        <v>37.5</v>
      </c>
      <c r="BZ95" s="367">
        <f t="shared" si="53"/>
        <v>0.375</v>
      </c>
      <c r="CA95" s="359">
        <v>0</v>
      </c>
      <c r="CB95" s="359">
        <v>0</v>
      </c>
      <c r="CC95" s="359">
        <v>0</v>
      </c>
      <c r="CD95" s="366">
        <f t="shared" si="54"/>
        <v>0</v>
      </c>
      <c r="CE95" s="367">
        <f t="shared" si="55"/>
        <v>0</v>
      </c>
      <c r="CF95" s="368">
        <f t="shared" si="56"/>
        <v>62.5</v>
      </c>
      <c r="CG95" s="359">
        <f t="shared" si="41"/>
        <v>0.625</v>
      </c>
      <c r="CH95" s="369"/>
      <c r="CI95" s="369"/>
      <c r="CJ95" s="370">
        <v>0</v>
      </c>
      <c r="CK95" s="370">
        <v>0</v>
      </c>
      <c r="CL95" s="372">
        <v>0</v>
      </c>
      <c r="CM95" s="374">
        <v>0</v>
      </c>
      <c r="CN95" s="374">
        <f t="shared" si="57"/>
        <v>0</v>
      </c>
      <c r="CO95" s="370">
        <f t="shared" si="42"/>
        <v>0</v>
      </c>
      <c r="CP95" s="370">
        <v>0</v>
      </c>
      <c r="CQ95" s="370">
        <v>0</v>
      </c>
      <c r="CR95" s="372">
        <v>6900000</v>
      </c>
      <c r="CS95" s="374">
        <v>56350000</v>
      </c>
      <c r="CT95" s="375">
        <f t="shared" si="58"/>
        <v>6900000</v>
      </c>
      <c r="CU95" s="370">
        <f t="shared" si="43"/>
        <v>0.12244897959183673</v>
      </c>
      <c r="CV95" s="370">
        <f>20700000-CR95</f>
        <v>13800000</v>
      </c>
      <c r="CW95" s="370">
        <v>0</v>
      </c>
      <c r="CX95" s="372">
        <f>27600000-20700000</f>
        <v>6900000</v>
      </c>
      <c r="CY95" s="374">
        <v>0</v>
      </c>
      <c r="CZ95" s="375">
        <f t="shared" si="59"/>
        <v>20700000</v>
      </c>
      <c r="DA95" s="370">
        <f t="shared" si="44"/>
        <v>0.36734693877551022</v>
      </c>
      <c r="DB95" s="372">
        <f>27600000-20700000</f>
        <v>6900000</v>
      </c>
      <c r="DC95" s="370">
        <f>41400000-34500000</f>
        <v>6900000</v>
      </c>
      <c r="DD95" s="372">
        <v>0</v>
      </c>
      <c r="DE95" s="374">
        <v>0</v>
      </c>
      <c r="DF95" s="375">
        <f t="shared" si="71"/>
        <v>13800000</v>
      </c>
      <c r="DG95" s="370">
        <f t="shared" si="45"/>
        <v>0.24489795918367346</v>
      </c>
      <c r="DH95" s="376">
        <f t="shared" si="60"/>
        <v>56350000</v>
      </c>
      <c r="DI95" s="376">
        <f t="shared" si="72"/>
        <v>41400000</v>
      </c>
      <c r="DJ95" s="370">
        <f t="shared" si="46"/>
        <v>1</v>
      </c>
      <c r="DK95" s="370"/>
      <c r="DL95" s="377">
        <f t="shared" si="61"/>
        <v>56350000</v>
      </c>
      <c r="DM95" s="370">
        <f t="shared" si="62"/>
        <v>0</v>
      </c>
      <c r="DN95" s="370">
        <f t="shared" si="63"/>
        <v>56350000</v>
      </c>
      <c r="DO95" s="370">
        <f t="shared" si="64"/>
        <v>0</v>
      </c>
      <c r="DP95" s="370">
        <f t="shared" si="65"/>
        <v>0</v>
      </c>
      <c r="DQ95" s="378">
        <f t="shared" si="66"/>
        <v>41400000</v>
      </c>
      <c r="DR95" s="370">
        <f t="shared" si="67"/>
        <v>0</v>
      </c>
      <c r="DS95" s="370">
        <f t="shared" si="68"/>
        <v>6900000</v>
      </c>
      <c r="DT95" s="370">
        <f t="shared" si="69"/>
        <v>20700000</v>
      </c>
      <c r="DU95" s="370">
        <f t="shared" si="70"/>
        <v>13800000</v>
      </c>
      <c r="DW95" s="300">
        <v>0</v>
      </c>
      <c r="DX95" s="300">
        <v>0</v>
      </c>
      <c r="DY95" s="300">
        <v>0</v>
      </c>
      <c r="DZ95" s="381">
        <f t="shared" si="73"/>
        <v>5071500</v>
      </c>
      <c r="EA95" s="382">
        <f t="shared" si="74"/>
        <v>61421500</v>
      </c>
      <c r="EB95" s="608"/>
      <c r="EC95" s="280" t="s">
        <v>1177</v>
      </c>
    </row>
    <row r="96" spans="1:133" ht="91.5" hidden="1" customHeight="1" thickTop="1" thickBot="1">
      <c r="A96" s="133">
        <v>1</v>
      </c>
      <c r="B96" s="411" t="s">
        <v>6</v>
      </c>
      <c r="C96" s="135" t="s">
        <v>304</v>
      </c>
      <c r="D96" s="135" t="s">
        <v>305</v>
      </c>
      <c r="E96" s="412" t="s">
        <v>114</v>
      </c>
      <c r="F96" s="347" t="s">
        <v>306</v>
      </c>
      <c r="G96" s="467" t="s">
        <v>553</v>
      </c>
      <c r="H96" s="347" t="s">
        <v>556</v>
      </c>
      <c r="I96" s="347" t="s">
        <v>981</v>
      </c>
      <c r="J96" s="32">
        <v>57</v>
      </c>
      <c r="K96" s="348" t="s">
        <v>989</v>
      </c>
      <c r="L96" s="349" t="s">
        <v>990</v>
      </c>
      <c r="M96" s="349" t="s">
        <v>677</v>
      </c>
      <c r="N96" s="349" t="s">
        <v>11</v>
      </c>
      <c r="O96" s="350">
        <v>19</v>
      </c>
      <c r="P96" s="468" t="s">
        <v>23</v>
      </c>
      <c r="Q96" s="350">
        <v>1903</v>
      </c>
      <c r="R96" s="350">
        <v>1903016</v>
      </c>
      <c r="S96" s="468" t="s">
        <v>29</v>
      </c>
      <c r="T96" s="468" t="s">
        <v>568</v>
      </c>
      <c r="U96" s="350">
        <v>190301600</v>
      </c>
      <c r="V96" s="468" t="s">
        <v>30</v>
      </c>
      <c r="W96" s="417" t="s">
        <v>316</v>
      </c>
      <c r="X96" s="417"/>
      <c r="Y96" s="417"/>
      <c r="Z96" s="417"/>
      <c r="AA96" s="417"/>
      <c r="AB96" s="417"/>
      <c r="AC96" s="418">
        <f>SUM(BE96:BE101)</f>
        <v>124738176</v>
      </c>
      <c r="AD96" s="417"/>
      <c r="AE96" s="417"/>
      <c r="AF96" s="417"/>
      <c r="AG96" s="417"/>
      <c r="AH96" s="356">
        <f t="shared" si="40"/>
        <v>124738176</v>
      </c>
      <c r="AI96" s="397" t="s">
        <v>991</v>
      </c>
      <c r="AJ96" s="80" t="s">
        <v>759</v>
      </c>
      <c r="AK96" s="80">
        <v>14</v>
      </c>
      <c r="AL96" s="80">
        <v>14</v>
      </c>
      <c r="AM96" s="80">
        <v>14</v>
      </c>
      <c r="AN96" s="80">
        <v>14</v>
      </c>
      <c r="AO96" s="472">
        <v>11</v>
      </c>
      <c r="AP96" s="33">
        <f>+AR96+AS96+AT96+AU96</f>
        <v>11</v>
      </c>
      <c r="AQ96" s="359" t="s">
        <v>316</v>
      </c>
      <c r="AR96" s="25">
        <v>0</v>
      </c>
      <c r="AS96" s="25">
        <v>3</v>
      </c>
      <c r="AT96" s="25">
        <v>4</v>
      </c>
      <c r="AU96" s="25">
        <v>4</v>
      </c>
      <c r="AV96" s="39" t="s">
        <v>678</v>
      </c>
      <c r="AW96" s="39" t="s">
        <v>984</v>
      </c>
      <c r="AX96" s="39" t="s">
        <v>992</v>
      </c>
      <c r="AY96" s="25">
        <v>368</v>
      </c>
      <c r="AZ96" s="39" t="s">
        <v>762</v>
      </c>
      <c r="BA96" s="40" t="s">
        <v>29</v>
      </c>
      <c r="BB96" s="360" t="s">
        <v>709</v>
      </c>
      <c r="BC96" s="361" t="s">
        <v>710</v>
      </c>
      <c r="BD96" s="40" t="s">
        <v>698</v>
      </c>
      <c r="BE96" s="387">
        <f>45897841-6447424</f>
        <v>39450417</v>
      </c>
      <c r="BF96" s="43" t="s">
        <v>993</v>
      </c>
      <c r="BG96" s="470" t="s">
        <v>994</v>
      </c>
      <c r="BH96" s="470"/>
      <c r="BI96" s="25" t="s">
        <v>988</v>
      </c>
      <c r="BJ96" s="26" t="s">
        <v>968</v>
      </c>
      <c r="BK96" s="26" t="s">
        <v>969</v>
      </c>
      <c r="BL96" s="359">
        <v>0</v>
      </c>
      <c r="BM96" s="359">
        <v>0</v>
      </c>
      <c r="BN96" s="359">
        <v>0</v>
      </c>
      <c r="BO96" s="366">
        <f t="shared" si="48"/>
        <v>0</v>
      </c>
      <c r="BP96" s="367">
        <f t="shared" si="49"/>
        <v>0</v>
      </c>
      <c r="BQ96" s="359">
        <v>1</v>
      </c>
      <c r="BR96" s="359"/>
      <c r="BS96" s="359">
        <v>1</v>
      </c>
      <c r="BT96" s="366">
        <f t="shared" si="50"/>
        <v>2</v>
      </c>
      <c r="BU96" s="367">
        <f t="shared" si="51"/>
        <v>0.18181818181818182</v>
      </c>
      <c r="BV96" s="359">
        <v>0</v>
      </c>
      <c r="BW96" s="359">
        <v>0</v>
      </c>
      <c r="BX96" s="359">
        <v>1</v>
      </c>
      <c r="BY96" s="366">
        <f t="shared" si="52"/>
        <v>1</v>
      </c>
      <c r="BZ96" s="367">
        <f t="shared" si="53"/>
        <v>9.0909090909090912E-2</v>
      </c>
      <c r="CA96" s="359">
        <v>0</v>
      </c>
      <c r="CB96" s="359">
        <v>0</v>
      </c>
      <c r="CC96" s="359">
        <v>0</v>
      </c>
      <c r="CD96" s="366">
        <f t="shared" si="54"/>
        <v>0</v>
      </c>
      <c r="CE96" s="367">
        <f t="shared" si="55"/>
        <v>0</v>
      </c>
      <c r="CF96" s="368">
        <f t="shared" si="56"/>
        <v>3</v>
      </c>
      <c r="CG96" s="359">
        <f t="shared" si="41"/>
        <v>0.27272727272727271</v>
      </c>
      <c r="CH96" s="369"/>
      <c r="CI96" s="369"/>
      <c r="CJ96" s="370">
        <v>0</v>
      </c>
      <c r="CK96" s="370">
        <v>0</v>
      </c>
      <c r="CL96" s="372">
        <v>0</v>
      </c>
      <c r="CM96" s="374">
        <v>0</v>
      </c>
      <c r="CN96" s="374">
        <f t="shared" si="57"/>
        <v>0</v>
      </c>
      <c r="CO96" s="370">
        <f t="shared" si="42"/>
        <v>0</v>
      </c>
      <c r="CP96" s="370">
        <v>0</v>
      </c>
      <c r="CQ96" s="370">
        <v>0</v>
      </c>
      <c r="CR96" s="372">
        <v>4931302.125</v>
      </c>
      <c r="CS96" s="374">
        <f>45897841-6447424</f>
        <v>39450417</v>
      </c>
      <c r="CT96" s="375">
        <f t="shared" si="58"/>
        <v>4931302.125</v>
      </c>
      <c r="CU96" s="370">
        <f t="shared" si="43"/>
        <v>0.125</v>
      </c>
      <c r="CV96" s="372">
        <v>4931302.125</v>
      </c>
      <c r="CW96" s="372">
        <v>4931302.125</v>
      </c>
      <c r="CX96" s="372">
        <v>0</v>
      </c>
      <c r="CY96" s="374">
        <v>0</v>
      </c>
      <c r="CZ96" s="375">
        <f t="shared" si="59"/>
        <v>9862604.25</v>
      </c>
      <c r="DA96" s="370">
        <f t="shared" si="44"/>
        <v>0.25</v>
      </c>
      <c r="DB96" s="372">
        <f>CW96*2</f>
        <v>9862604.25</v>
      </c>
      <c r="DC96" s="370">
        <v>4931302.125</v>
      </c>
      <c r="DD96" s="372">
        <v>0</v>
      </c>
      <c r="DE96" s="374">
        <v>0</v>
      </c>
      <c r="DF96" s="375">
        <f t="shared" si="71"/>
        <v>14793906.375</v>
      </c>
      <c r="DG96" s="370">
        <f t="shared" si="45"/>
        <v>0.375</v>
      </c>
      <c r="DH96" s="376">
        <f>$CM96+$CS96+$CY96+$DE96</f>
        <v>39450417</v>
      </c>
      <c r="DI96" s="376">
        <f t="shared" si="72"/>
        <v>29587812.75</v>
      </c>
      <c r="DJ96" s="370">
        <f t="shared" si="46"/>
        <v>1</v>
      </c>
      <c r="DK96" s="370"/>
      <c r="DL96" s="377">
        <f t="shared" si="61"/>
        <v>39450417</v>
      </c>
      <c r="DM96" s="370">
        <f t="shared" si="62"/>
        <v>0</v>
      </c>
      <c r="DN96" s="370">
        <f t="shared" si="63"/>
        <v>39450417</v>
      </c>
      <c r="DO96" s="370">
        <f t="shared" si="64"/>
        <v>0</v>
      </c>
      <c r="DP96" s="370">
        <f t="shared" si="65"/>
        <v>0</v>
      </c>
      <c r="DQ96" s="378">
        <f t="shared" si="66"/>
        <v>29587812.75</v>
      </c>
      <c r="DR96" s="370">
        <f t="shared" si="67"/>
        <v>0</v>
      </c>
      <c r="DS96" s="370">
        <f t="shared" si="68"/>
        <v>4931302.125</v>
      </c>
      <c r="DT96" s="370">
        <f t="shared" si="69"/>
        <v>9862604.25</v>
      </c>
      <c r="DU96" s="370">
        <f t="shared" si="70"/>
        <v>14793906.375</v>
      </c>
      <c r="DW96" s="300">
        <v>0</v>
      </c>
      <c r="DX96" s="300">
        <v>0</v>
      </c>
      <c r="DY96" s="300">
        <v>0</v>
      </c>
      <c r="DZ96" s="381">
        <f t="shared" si="73"/>
        <v>3550537.53</v>
      </c>
      <c r="EA96" s="382">
        <f t="shared" si="74"/>
        <v>43000954.530000001</v>
      </c>
      <c r="EB96" s="608"/>
      <c r="EC96" s="280" t="s">
        <v>1177</v>
      </c>
    </row>
    <row r="97" spans="1:133" ht="125.25" hidden="1" customHeight="1" thickTop="1" thickBot="1">
      <c r="A97" s="133">
        <v>1</v>
      </c>
      <c r="B97" s="411" t="s">
        <v>6</v>
      </c>
      <c r="C97" s="135" t="s">
        <v>304</v>
      </c>
      <c r="D97" s="135" t="s">
        <v>305</v>
      </c>
      <c r="E97" s="412" t="s">
        <v>114</v>
      </c>
      <c r="F97" s="347" t="s">
        <v>306</v>
      </c>
      <c r="G97" s="467" t="s">
        <v>553</v>
      </c>
      <c r="H97" s="347" t="s">
        <v>556</v>
      </c>
      <c r="I97" s="347" t="s">
        <v>981</v>
      </c>
      <c r="J97" s="32">
        <v>57</v>
      </c>
      <c r="K97" s="348" t="s">
        <v>989</v>
      </c>
      <c r="L97" s="349" t="s">
        <v>990</v>
      </c>
      <c r="M97" s="349" t="s">
        <v>677</v>
      </c>
      <c r="N97" s="349" t="s">
        <v>11</v>
      </c>
      <c r="O97" s="350">
        <v>19</v>
      </c>
      <c r="P97" s="468" t="s">
        <v>23</v>
      </c>
      <c r="Q97" s="350">
        <v>1903</v>
      </c>
      <c r="R97" s="350">
        <v>1903016</v>
      </c>
      <c r="S97" s="468" t="s">
        <v>29</v>
      </c>
      <c r="T97" s="468" t="s">
        <v>568</v>
      </c>
      <c r="U97" s="350">
        <v>190301600</v>
      </c>
      <c r="V97" s="468" t="s">
        <v>30</v>
      </c>
      <c r="W97" s="417" t="s">
        <v>316</v>
      </c>
      <c r="X97" s="473"/>
      <c r="Y97" s="473"/>
      <c r="Z97" s="473"/>
      <c r="AA97" s="473"/>
      <c r="AB97" s="473"/>
      <c r="AC97" s="473"/>
      <c r="AD97" s="473"/>
      <c r="AE97" s="473"/>
      <c r="AF97" s="473"/>
      <c r="AG97" s="473"/>
      <c r="AH97" s="356">
        <f t="shared" si="40"/>
        <v>0</v>
      </c>
      <c r="AI97" s="474" t="s">
        <v>995</v>
      </c>
      <c r="AJ97" s="80">
        <v>2</v>
      </c>
      <c r="AK97" s="80">
        <v>2</v>
      </c>
      <c r="AL97" s="80">
        <v>2</v>
      </c>
      <c r="AM97" s="80">
        <v>2</v>
      </c>
      <c r="AN97" s="80">
        <v>2</v>
      </c>
      <c r="AO97" s="358">
        <v>2</v>
      </c>
      <c r="AP97" s="33">
        <f t="shared" si="47"/>
        <v>2</v>
      </c>
      <c r="AQ97" s="359" t="s">
        <v>316</v>
      </c>
      <c r="AR97" s="25">
        <v>0</v>
      </c>
      <c r="AS97" s="25">
        <v>1</v>
      </c>
      <c r="AT97" s="25">
        <v>0</v>
      </c>
      <c r="AU97" s="25">
        <v>1</v>
      </c>
      <c r="AV97" s="39" t="s">
        <v>678</v>
      </c>
      <c r="AW97" s="39" t="s">
        <v>984</v>
      </c>
      <c r="AX97" s="39" t="s">
        <v>992</v>
      </c>
      <c r="AY97" s="25">
        <v>368</v>
      </c>
      <c r="AZ97" s="39" t="s">
        <v>762</v>
      </c>
      <c r="BA97" s="40" t="s">
        <v>29</v>
      </c>
      <c r="BB97" s="360" t="s">
        <v>709</v>
      </c>
      <c r="BC97" s="361" t="s">
        <v>710</v>
      </c>
      <c r="BD97" s="40" t="s">
        <v>698</v>
      </c>
      <c r="BE97" s="387">
        <v>17011940</v>
      </c>
      <c r="BF97" s="43" t="s">
        <v>993</v>
      </c>
      <c r="BG97" s="470" t="s">
        <v>994</v>
      </c>
      <c r="BH97" s="470"/>
      <c r="BI97" s="25" t="s">
        <v>988</v>
      </c>
      <c r="BJ97" s="26" t="s">
        <v>968</v>
      </c>
      <c r="BK97" s="26" t="s">
        <v>969</v>
      </c>
      <c r="BL97" s="359">
        <v>0</v>
      </c>
      <c r="BM97" s="359">
        <v>0</v>
      </c>
      <c r="BN97" s="359">
        <v>0</v>
      </c>
      <c r="BO97" s="366">
        <f t="shared" si="48"/>
        <v>0</v>
      </c>
      <c r="BP97" s="367">
        <f t="shared" si="49"/>
        <v>0</v>
      </c>
      <c r="BQ97" s="359">
        <v>0</v>
      </c>
      <c r="BR97" s="359">
        <v>0</v>
      </c>
      <c r="BS97" s="359">
        <v>0.5</v>
      </c>
      <c r="BT97" s="366">
        <f t="shared" si="50"/>
        <v>0.5</v>
      </c>
      <c r="BU97" s="367">
        <f t="shared" si="51"/>
        <v>0.25</v>
      </c>
      <c r="BV97" s="359">
        <v>0</v>
      </c>
      <c r="BW97" s="359">
        <v>0</v>
      </c>
      <c r="BX97" s="359">
        <v>0.5</v>
      </c>
      <c r="BY97" s="366">
        <f t="shared" si="52"/>
        <v>0.5</v>
      </c>
      <c r="BZ97" s="367">
        <f t="shared" si="53"/>
        <v>0.25</v>
      </c>
      <c r="CA97" s="359">
        <v>0</v>
      </c>
      <c r="CB97" s="359">
        <v>0</v>
      </c>
      <c r="CC97" s="359">
        <v>0</v>
      </c>
      <c r="CD97" s="366">
        <f t="shared" si="54"/>
        <v>0</v>
      </c>
      <c r="CE97" s="367">
        <f t="shared" si="55"/>
        <v>0</v>
      </c>
      <c r="CF97" s="368">
        <f t="shared" si="56"/>
        <v>1</v>
      </c>
      <c r="CG97" s="359">
        <f t="shared" si="41"/>
        <v>0.5</v>
      </c>
      <c r="CH97" s="369"/>
      <c r="CI97" s="369"/>
      <c r="CJ97" s="370">
        <v>0</v>
      </c>
      <c r="CK97" s="370">
        <v>0</v>
      </c>
      <c r="CL97" s="372">
        <v>0</v>
      </c>
      <c r="CM97" s="374">
        <v>0</v>
      </c>
      <c r="CN97" s="374">
        <f t="shared" si="57"/>
        <v>0</v>
      </c>
      <c r="CO97" s="370">
        <f t="shared" si="42"/>
        <v>0</v>
      </c>
      <c r="CP97" s="370">
        <v>0</v>
      </c>
      <c r="CQ97" s="370">
        <v>0</v>
      </c>
      <c r="CR97" s="372">
        <v>2126492.5</v>
      </c>
      <c r="CS97" s="374">
        <v>17011940</v>
      </c>
      <c r="CT97" s="375">
        <f t="shared" si="58"/>
        <v>2126492.5</v>
      </c>
      <c r="CU97" s="370">
        <f t="shared" si="43"/>
        <v>0.125</v>
      </c>
      <c r="CV97" s="372">
        <v>2126492.5</v>
      </c>
      <c r="CW97" s="372">
        <v>2126492.5</v>
      </c>
      <c r="CX97" s="372">
        <v>0</v>
      </c>
      <c r="CY97" s="374">
        <v>0</v>
      </c>
      <c r="CZ97" s="375">
        <f t="shared" si="59"/>
        <v>4252985</v>
      </c>
      <c r="DA97" s="370">
        <f t="shared" si="44"/>
        <v>0.25</v>
      </c>
      <c r="DB97" s="372">
        <f t="shared" ref="DB97:DB101" si="82">CW97*2</f>
        <v>4252985</v>
      </c>
      <c r="DC97" s="370">
        <v>2126492.5</v>
      </c>
      <c r="DD97" s="372">
        <v>0</v>
      </c>
      <c r="DE97" s="374">
        <v>0</v>
      </c>
      <c r="DF97" s="375">
        <f t="shared" si="71"/>
        <v>6379477.5</v>
      </c>
      <c r="DG97" s="370">
        <f t="shared" si="45"/>
        <v>0.375</v>
      </c>
      <c r="DH97" s="376">
        <f t="shared" si="60"/>
        <v>17011940</v>
      </c>
      <c r="DI97" s="376">
        <f t="shared" si="72"/>
        <v>12758955</v>
      </c>
      <c r="DJ97" s="370">
        <f t="shared" si="46"/>
        <v>1</v>
      </c>
      <c r="DK97" s="370"/>
      <c r="DL97" s="377">
        <f t="shared" si="61"/>
        <v>17011940</v>
      </c>
      <c r="DM97" s="370">
        <f t="shared" si="62"/>
        <v>0</v>
      </c>
      <c r="DN97" s="370">
        <f t="shared" si="63"/>
        <v>17011940</v>
      </c>
      <c r="DO97" s="370">
        <f t="shared" si="64"/>
        <v>0</v>
      </c>
      <c r="DP97" s="370">
        <f t="shared" si="65"/>
        <v>0</v>
      </c>
      <c r="DQ97" s="378">
        <f t="shared" si="66"/>
        <v>12758955</v>
      </c>
      <c r="DR97" s="370">
        <f t="shared" si="67"/>
        <v>0</v>
      </c>
      <c r="DS97" s="370">
        <f t="shared" si="68"/>
        <v>2126492.5</v>
      </c>
      <c r="DT97" s="370">
        <f t="shared" si="69"/>
        <v>4252985</v>
      </c>
      <c r="DU97" s="370">
        <f t="shared" si="70"/>
        <v>6379477.5</v>
      </c>
      <c r="DW97" s="300">
        <v>0</v>
      </c>
      <c r="DX97" s="300">
        <v>0</v>
      </c>
      <c r="DY97" s="300">
        <v>0</v>
      </c>
      <c r="DZ97" s="381">
        <f t="shared" si="73"/>
        <v>1531074.5999999999</v>
      </c>
      <c r="EA97" s="382">
        <f t="shared" si="74"/>
        <v>18543014.600000001</v>
      </c>
      <c r="EB97" s="608"/>
      <c r="EC97" s="280" t="s">
        <v>1177</v>
      </c>
    </row>
    <row r="98" spans="1:133" ht="117" hidden="1" customHeight="1" thickTop="1" thickBot="1">
      <c r="A98" s="133">
        <v>1</v>
      </c>
      <c r="B98" s="411" t="s">
        <v>6</v>
      </c>
      <c r="C98" s="135" t="s">
        <v>304</v>
      </c>
      <c r="D98" s="135" t="s">
        <v>305</v>
      </c>
      <c r="E98" s="412" t="s">
        <v>114</v>
      </c>
      <c r="F98" s="347" t="s">
        <v>306</v>
      </c>
      <c r="G98" s="467" t="s">
        <v>553</v>
      </c>
      <c r="H98" s="347" t="s">
        <v>556</v>
      </c>
      <c r="I98" s="347" t="s">
        <v>981</v>
      </c>
      <c r="J98" s="32">
        <v>57</v>
      </c>
      <c r="K98" s="348" t="s">
        <v>989</v>
      </c>
      <c r="L98" s="349" t="s">
        <v>990</v>
      </c>
      <c r="M98" s="349" t="s">
        <v>677</v>
      </c>
      <c r="N98" s="349" t="s">
        <v>11</v>
      </c>
      <c r="O98" s="350">
        <v>19</v>
      </c>
      <c r="P98" s="468" t="s">
        <v>23</v>
      </c>
      <c r="Q98" s="350">
        <v>1903</v>
      </c>
      <c r="R98" s="350">
        <v>1903016</v>
      </c>
      <c r="S98" s="468" t="s">
        <v>29</v>
      </c>
      <c r="T98" s="468" t="s">
        <v>568</v>
      </c>
      <c r="U98" s="350">
        <v>190301600</v>
      </c>
      <c r="V98" s="468" t="s">
        <v>30</v>
      </c>
      <c r="W98" s="417" t="s">
        <v>316</v>
      </c>
      <c r="X98" s="473"/>
      <c r="Y98" s="473"/>
      <c r="Z98" s="473"/>
      <c r="AA98" s="473"/>
      <c r="AB98" s="473"/>
      <c r="AC98" s="473"/>
      <c r="AD98" s="473"/>
      <c r="AE98" s="473"/>
      <c r="AF98" s="473"/>
      <c r="AG98" s="473"/>
      <c r="AH98" s="356">
        <f t="shared" si="40"/>
        <v>0</v>
      </c>
      <c r="AI98" s="474" t="s">
        <v>147</v>
      </c>
      <c r="AJ98" s="80">
        <v>1</v>
      </c>
      <c r="AK98" s="80">
        <v>1</v>
      </c>
      <c r="AL98" s="80">
        <v>1</v>
      </c>
      <c r="AM98" s="80">
        <v>1</v>
      </c>
      <c r="AN98" s="80">
        <v>1</v>
      </c>
      <c r="AO98" s="358">
        <v>1</v>
      </c>
      <c r="AP98" s="33">
        <f t="shared" si="47"/>
        <v>1</v>
      </c>
      <c r="AQ98" s="359" t="s">
        <v>316</v>
      </c>
      <c r="AR98" s="25">
        <v>0</v>
      </c>
      <c r="AS98" s="25">
        <v>0</v>
      </c>
      <c r="AT98" s="25">
        <v>0</v>
      </c>
      <c r="AU98" s="25">
        <v>1</v>
      </c>
      <c r="AV98" s="39" t="s">
        <v>678</v>
      </c>
      <c r="AW98" s="39" t="s">
        <v>984</v>
      </c>
      <c r="AX98" s="39" t="s">
        <v>992</v>
      </c>
      <c r="AY98" s="25">
        <v>368</v>
      </c>
      <c r="AZ98" s="39" t="s">
        <v>762</v>
      </c>
      <c r="BA98" s="40" t="s">
        <v>29</v>
      </c>
      <c r="BB98" s="360" t="s">
        <v>709</v>
      </c>
      <c r="BC98" s="361" t="s">
        <v>710</v>
      </c>
      <c r="BD98" s="40" t="s">
        <v>698</v>
      </c>
      <c r="BE98" s="387">
        <v>17011972.859999999</v>
      </c>
      <c r="BF98" s="43" t="s">
        <v>993</v>
      </c>
      <c r="BG98" s="470" t="s">
        <v>994</v>
      </c>
      <c r="BH98" s="470"/>
      <c r="BI98" s="25" t="s">
        <v>988</v>
      </c>
      <c r="BJ98" s="26" t="s">
        <v>968</v>
      </c>
      <c r="BK98" s="26" t="s">
        <v>969</v>
      </c>
      <c r="BL98" s="359">
        <v>0</v>
      </c>
      <c r="BM98" s="359">
        <v>0</v>
      </c>
      <c r="BN98" s="359">
        <v>0</v>
      </c>
      <c r="BO98" s="366">
        <f t="shared" si="48"/>
        <v>0</v>
      </c>
      <c r="BP98" s="367">
        <f t="shared" si="49"/>
        <v>0</v>
      </c>
      <c r="BQ98" s="359">
        <v>0</v>
      </c>
      <c r="BR98" s="359">
        <v>0.125</v>
      </c>
      <c r="BS98" s="359">
        <v>0.125</v>
      </c>
      <c r="BT98" s="366">
        <f t="shared" si="50"/>
        <v>0.25</v>
      </c>
      <c r="BU98" s="367">
        <f t="shared" si="51"/>
        <v>0.25</v>
      </c>
      <c r="BV98" s="359">
        <v>0</v>
      </c>
      <c r="BW98" s="359">
        <v>0</v>
      </c>
      <c r="BX98" s="359">
        <v>0.25</v>
      </c>
      <c r="BY98" s="366">
        <f t="shared" si="52"/>
        <v>0.25</v>
      </c>
      <c r="BZ98" s="367">
        <f t="shared" si="53"/>
        <v>0.25</v>
      </c>
      <c r="CA98" s="359">
        <v>0</v>
      </c>
      <c r="CB98" s="359">
        <v>0</v>
      </c>
      <c r="CC98" s="359">
        <v>0</v>
      </c>
      <c r="CD98" s="366">
        <f t="shared" si="54"/>
        <v>0</v>
      </c>
      <c r="CE98" s="367">
        <f t="shared" si="55"/>
        <v>0</v>
      </c>
      <c r="CF98" s="368">
        <f t="shared" si="56"/>
        <v>0.5</v>
      </c>
      <c r="CG98" s="359">
        <f t="shared" si="41"/>
        <v>0.5</v>
      </c>
      <c r="CH98" s="369"/>
      <c r="CI98" s="369"/>
      <c r="CJ98" s="370">
        <v>0</v>
      </c>
      <c r="CK98" s="370">
        <v>0</v>
      </c>
      <c r="CL98" s="372">
        <v>0</v>
      </c>
      <c r="CM98" s="374">
        <v>0</v>
      </c>
      <c r="CN98" s="374">
        <f t="shared" si="57"/>
        <v>0</v>
      </c>
      <c r="CO98" s="370">
        <f t="shared" si="42"/>
        <v>0</v>
      </c>
      <c r="CP98" s="370">
        <v>0</v>
      </c>
      <c r="CQ98" s="370">
        <v>0</v>
      </c>
      <c r="CR98" s="372">
        <v>2126496.6074999999</v>
      </c>
      <c r="CS98" s="374">
        <v>17011972.859999999</v>
      </c>
      <c r="CT98" s="375">
        <f t="shared" si="58"/>
        <v>2126496.6074999999</v>
      </c>
      <c r="CU98" s="370">
        <f t="shared" si="43"/>
        <v>0.125</v>
      </c>
      <c r="CV98" s="372">
        <v>2126496.6074999999</v>
      </c>
      <c r="CW98" s="372">
        <v>2126496.6074999999</v>
      </c>
      <c r="CX98" s="372">
        <v>0</v>
      </c>
      <c r="CY98" s="374">
        <v>0</v>
      </c>
      <c r="CZ98" s="375">
        <f t="shared" si="59"/>
        <v>4252993.2149999999</v>
      </c>
      <c r="DA98" s="370">
        <f t="shared" si="44"/>
        <v>0.25</v>
      </c>
      <c r="DB98" s="372">
        <f t="shared" si="82"/>
        <v>4252993.2149999999</v>
      </c>
      <c r="DC98" s="370">
        <v>2126496.6074999999</v>
      </c>
      <c r="DD98" s="372">
        <v>0</v>
      </c>
      <c r="DE98" s="374">
        <v>0</v>
      </c>
      <c r="DF98" s="375">
        <f t="shared" si="71"/>
        <v>6379489.8224999998</v>
      </c>
      <c r="DG98" s="370">
        <f t="shared" si="45"/>
        <v>0.375</v>
      </c>
      <c r="DH98" s="376">
        <f t="shared" si="60"/>
        <v>17011972.859999999</v>
      </c>
      <c r="DI98" s="376">
        <f t="shared" si="72"/>
        <v>12758979.645</v>
      </c>
      <c r="DJ98" s="370">
        <f t="shared" si="46"/>
        <v>1</v>
      </c>
      <c r="DK98" s="370"/>
      <c r="DL98" s="377">
        <f t="shared" si="61"/>
        <v>17011972.859999999</v>
      </c>
      <c r="DM98" s="370">
        <f t="shared" si="62"/>
        <v>0</v>
      </c>
      <c r="DN98" s="370">
        <f t="shared" si="63"/>
        <v>17011972.859999999</v>
      </c>
      <c r="DO98" s="370">
        <f t="shared" si="64"/>
        <v>0</v>
      </c>
      <c r="DP98" s="370">
        <f t="shared" si="65"/>
        <v>0</v>
      </c>
      <c r="DQ98" s="378">
        <f t="shared" si="66"/>
        <v>12758979.645</v>
      </c>
      <c r="DR98" s="370">
        <f t="shared" si="67"/>
        <v>0</v>
      </c>
      <c r="DS98" s="370">
        <f t="shared" si="68"/>
        <v>2126496.6074999999</v>
      </c>
      <c r="DT98" s="370">
        <f t="shared" si="69"/>
        <v>4252993.2149999999</v>
      </c>
      <c r="DU98" s="370">
        <f t="shared" si="70"/>
        <v>6379489.8224999998</v>
      </c>
      <c r="DW98" s="300">
        <v>0</v>
      </c>
      <c r="DX98" s="300">
        <v>0</v>
      </c>
      <c r="DY98" s="300">
        <v>0</v>
      </c>
      <c r="DZ98" s="381">
        <f t="shared" si="73"/>
        <v>1531077.5573999998</v>
      </c>
      <c r="EA98" s="382">
        <f t="shared" si="74"/>
        <v>18543050.417399999</v>
      </c>
      <c r="EB98" s="608"/>
      <c r="EC98" s="280" t="s">
        <v>1177</v>
      </c>
    </row>
    <row r="99" spans="1:133" ht="117" hidden="1" customHeight="1" thickTop="1" thickBot="1">
      <c r="A99" s="133">
        <v>1</v>
      </c>
      <c r="B99" s="411" t="s">
        <v>6</v>
      </c>
      <c r="C99" s="135" t="s">
        <v>304</v>
      </c>
      <c r="D99" s="135" t="s">
        <v>305</v>
      </c>
      <c r="E99" s="412" t="s">
        <v>114</v>
      </c>
      <c r="F99" s="347" t="s">
        <v>306</v>
      </c>
      <c r="G99" s="467" t="s">
        <v>553</v>
      </c>
      <c r="H99" s="347" t="s">
        <v>556</v>
      </c>
      <c r="I99" s="347" t="s">
        <v>981</v>
      </c>
      <c r="J99" s="32">
        <v>57</v>
      </c>
      <c r="K99" s="348" t="s">
        <v>989</v>
      </c>
      <c r="L99" s="349" t="s">
        <v>990</v>
      </c>
      <c r="M99" s="349" t="s">
        <v>677</v>
      </c>
      <c r="N99" s="349" t="s">
        <v>11</v>
      </c>
      <c r="O99" s="350">
        <v>19</v>
      </c>
      <c r="P99" s="468" t="s">
        <v>23</v>
      </c>
      <c r="Q99" s="350">
        <v>1903</v>
      </c>
      <c r="R99" s="350">
        <v>1903016</v>
      </c>
      <c r="S99" s="468" t="s">
        <v>29</v>
      </c>
      <c r="T99" s="468" t="s">
        <v>568</v>
      </c>
      <c r="U99" s="350">
        <v>190301600</v>
      </c>
      <c r="V99" s="468" t="s">
        <v>30</v>
      </c>
      <c r="W99" s="417" t="s">
        <v>316</v>
      </c>
      <c r="X99" s="473"/>
      <c r="Y99" s="473"/>
      <c r="Z99" s="473"/>
      <c r="AA99" s="473"/>
      <c r="AB99" s="473"/>
      <c r="AC99" s="473"/>
      <c r="AD99" s="473"/>
      <c r="AE99" s="473"/>
      <c r="AF99" s="473"/>
      <c r="AG99" s="473"/>
      <c r="AH99" s="356">
        <f t="shared" si="40"/>
        <v>0</v>
      </c>
      <c r="AI99" s="475" t="s">
        <v>996</v>
      </c>
      <c r="AJ99" s="80">
        <v>4</v>
      </c>
      <c r="AK99" s="80">
        <v>4</v>
      </c>
      <c r="AL99" s="80">
        <v>4</v>
      </c>
      <c r="AM99" s="80">
        <v>4</v>
      </c>
      <c r="AN99" s="80">
        <v>4</v>
      </c>
      <c r="AO99" s="358">
        <v>11</v>
      </c>
      <c r="AP99" s="33">
        <f t="shared" si="47"/>
        <v>4</v>
      </c>
      <c r="AQ99" s="359" t="s">
        <v>316</v>
      </c>
      <c r="AR99" s="25">
        <v>0</v>
      </c>
      <c r="AS99" s="25">
        <v>2</v>
      </c>
      <c r="AT99" s="25">
        <v>1</v>
      </c>
      <c r="AU99" s="25">
        <v>1</v>
      </c>
      <c r="AV99" s="39" t="s">
        <v>678</v>
      </c>
      <c r="AW99" s="39" t="s">
        <v>984</v>
      </c>
      <c r="AX99" s="39" t="s">
        <v>992</v>
      </c>
      <c r="AY99" s="25">
        <v>368</v>
      </c>
      <c r="AZ99" s="39" t="s">
        <v>762</v>
      </c>
      <c r="BA99" s="40" t="s">
        <v>29</v>
      </c>
      <c r="BB99" s="360" t="s">
        <v>709</v>
      </c>
      <c r="BC99" s="361" t="s">
        <v>710</v>
      </c>
      <c r="BD99" s="40" t="s">
        <v>698</v>
      </c>
      <c r="BE99" s="387">
        <v>29388998.199999999</v>
      </c>
      <c r="BF99" s="43" t="s">
        <v>993</v>
      </c>
      <c r="BG99" s="470" t="s">
        <v>994</v>
      </c>
      <c r="BH99" s="470"/>
      <c r="BI99" s="25" t="s">
        <v>988</v>
      </c>
      <c r="BJ99" s="26" t="s">
        <v>968</v>
      </c>
      <c r="BK99" s="26" t="s">
        <v>969</v>
      </c>
      <c r="BL99" s="359">
        <v>0</v>
      </c>
      <c r="BM99" s="359">
        <v>0</v>
      </c>
      <c r="BN99" s="359">
        <v>0</v>
      </c>
      <c r="BO99" s="366">
        <f t="shared" si="48"/>
        <v>0</v>
      </c>
      <c r="BP99" s="367">
        <f t="shared" si="49"/>
        <v>0</v>
      </c>
      <c r="BQ99" s="359">
        <v>1</v>
      </c>
      <c r="BR99" s="359">
        <v>0</v>
      </c>
      <c r="BS99" s="359">
        <v>1</v>
      </c>
      <c r="BT99" s="366">
        <f t="shared" si="50"/>
        <v>2</v>
      </c>
      <c r="BU99" s="367">
        <f t="shared" si="51"/>
        <v>0.5</v>
      </c>
      <c r="BV99" s="359">
        <v>0</v>
      </c>
      <c r="BW99" s="359">
        <v>0</v>
      </c>
      <c r="BX99" s="359">
        <v>1</v>
      </c>
      <c r="BY99" s="366">
        <f t="shared" si="52"/>
        <v>1</v>
      </c>
      <c r="BZ99" s="367">
        <f t="shared" si="53"/>
        <v>0.25</v>
      </c>
      <c r="CA99" s="359">
        <v>0</v>
      </c>
      <c r="CB99" s="359">
        <v>0</v>
      </c>
      <c r="CC99" s="359">
        <v>0</v>
      </c>
      <c r="CD99" s="366">
        <f t="shared" si="54"/>
        <v>0</v>
      </c>
      <c r="CE99" s="367">
        <f t="shared" si="55"/>
        <v>0</v>
      </c>
      <c r="CF99" s="368">
        <f t="shared" si="56"/>
        <v>3</v>
      </c>
      <c r="CG99" s="359">
        <f t="shared" si="41"/>
        <v>0.75</v>
      </c>
      <c r="CH99" s="369"/>
      <c r="CI99" s="369"/>
      <c r="CJ99" s="370">
        <v>0</v>
      </c>
      <c r="CK99" s="370">
        <v>0</v>
      </c>
      <c r="CL99" s="372">
        <v>0</v>
      </c>
      <c r="CM99" s="374">
        <v>0</v>
      </c>
      <c r="CN99" s="374">
        <f t="shared" si="57"/>
        <v>0</v>
      </c>
      <c r="CO99" s="370">
        <f t="shared" si="42"/>
        <v>0</v>
      </c>
      <c r="CP99" s="370">
        <v>0</v>
      </c>
      <c r="CQ99" s="370">
        <v>0</v>
      </c>
      <c r="CR99" s="372">
        <v>3673624.7749999999</v>
      </c>
      <c r="CS99" s="374">
        <v>29388998.199999999</v>
      </c>
      <c r="CT99" s="375">
        <f t="shared" si="58"/>
        <v>3673624.7749999999</v>
      </c>
      <c r="CU99" s="370">
        <f t="shared" si="43"/>
        <v>0.125</v>
      </c>
      <c r="CV99" s="372">
        <v>3673624.7749999999</v>
      </c>
      <c r="CW99" s="372">
        <v>3673624.7749999999</v>
      </c>
      <c r="CX99" s="372">
        <v>0</v>
      </c>
      <c r="CY99" s="374">
        <v>0</v>
      </c>
      <c r="CZ99" s="375">
        <f t="shared" si="59"/>
        <v>7347249.5499999998</v>
      </c>
      <c r="DA99" s="370">
        <f t="shared" si="44"/>
        <v>0.25</v>
      </c>
      <c r="DB99" s="372">
        <f t="shared" si="82"/>
        <v>7347249.5499999998</v>
      </c>
      <c r="DC99" s="370">
        <v>3673624.7749999999</v>
      </c>
      <c r="DD99" s="372">
        <v>0</v>
      </c>
      <c r="DE99" s="374">
        <v>0</v>
      </c>
      <c r="DF99" s="375">
        <f t="shared" si="71"/>
        <v>11020874.324999999</v>
      </c>
      <c r="DG99" s="370">
        <f t="shared" si="45"/>
        <v>0.375</v>
      </c>
      <c r="DH99" s="376">
        <f t="shared" si="60"/>
        <v>29388998.199999999</v>
      </c>
      <c r="DI99" s="376">
        <f t="shared" si="72"/>
        <v>22041748.649999999</v>
      </c>
      <c r="DJ99" s="370">
        <f t="shared" si="46"/>
        <v>1</v>
      </c>
      <c r="DK99" s="370"/>
      <c r="DL99" s="377">
        <f t="shared" si="61"/>
        <v>29388998.199999999</v>
      </c>
      <c r="DM99" s="370">
        <f t="shared" si="62"/>
        <v>0</v>
      </c>
      <c r="DN99" s="370">
        <f t="shared" si="63"/>
        <v>29388998.199999999</v>
      </c>
      <c r="DO99" s="370">
        <f t="shared" si="64"/>
        <v>0</v>
      </c>
      <c r="DP99" s="370">
        <f t="shared" si="65"/>
        <v>0</v>
      </c>
      <c r="DQ99" s="378">
        <f t="shared" si="66"/>
        <v>22041748.649999999</v>
      </c>
      <c r="DR99" s="370">
        <f t="shared" si="67"/>
        <v>0</v>
      </c>
      <c r="DS99" s="370">
        <f t="shared" si="68"/>
        <v>3673624.7749999999</v>
      </c>
      <c r="DT99" s="370">
        <f t="shared" si="69"/>
        <v>7347249.5499999998</v>
      </c>
      <c r="DU99" s="370">
        <f t="shared" si="70"/>
        <v>11020874.324999999</v>
      </c>
      <c r="DW99" s="300">
        <v>0</v>
      </c>
      <c r="DX99" s="300">
        <v>0</v>
      </c>
      <c r="DY99" s="300">
        <v>0</v>
      </c>
      <c r="DZ99" s="381">
        <f t="shared" si="73"/>
        <v>2645009.838</v>
      </c>
      <c r="EA99" s="382">
        <f t="shared" si="74"/>
        <v>32034008.037999999</v>
      </c>
      <c r="EB99" s="608"/>
      <c r="EC99" s="280" t="s">
        <v>1177</v>
      </c>
    </row>
    <row r="100" spans="1:133" ht="87.75" hidden="1" customHeight="1" thickTop="1" thickBot="1">
      <c r="A100" s="133">
        <v>1</v>
      </c>
      <c r="B100" s="411" t="s">
        <v>6</v>
      </c>
      <c r="C100" s="135" t="s">
        <v>304</v>
      </c>
      <c r="D100" s="135" t="s">
        <v>305</v>
      </c>
      <c r="E100" s="412" t="s">
        <v>114</v>
      </c>
      <c r="F100" s="347" t="s">
        <v>306</v>
      </c>
      <c r="G100" s="467" t="s">
        <v>553</v>
      </c>
      <c r="H100" s="347" t="s">
        <v>556</v>
      </c>
      <c r="I100" s="347" t="s">
        <v>981</v>
      </c>
      <c r="J100" s="32">
        <v>57</v>
      </c>
      <c r="K100" s="348" t="s">
        <v>989</v>
      </c>
      <c r="L100" s="349" t="s">
        <v>990</v>
      </c>
      <c r="M100" s="349" t="s">
        <v>677</v>
      </c>
      <c r="N100" s="349" t="s">
        <v>11</v>
      </c>
      <c r="O100" s="350">
        <v>19</v>
      </c>
      <c r="P100" s="468" t="s">
        <v>23</v>
      </c>
      <c r="Q100" s="350">
        <v>1903</v>
      </c>
      <c r="R100" s="350">
        <v>1903016</v>
      </c>
      <c r="S100" s="468" t="s">
        <v>29</v>
      </c>
      <c r="T100" s="468" t="s">
        <v>568</v>
      </c>
      <c r="U100" s="350">
        <v>190301600</v>
      </c>
      <c r="V100" s="468" t="s">
        <v>30</v>
      </c>
      <c r="W100" s="417" t="s">
        <v>316</v>
      </c>
      <c r="X100" s="473"/>
      <c r="Y100" s="473"/>
      <c r="Z100" s="473"/>
      <c r="AA100" s="473"/>
      <c r="AB100" s="473"/>
      <c r="AC100" s="473"/>
      <c r="AD100" s="473"/>
      <c r="AE100" s="473"/>
      <c r="AF100" s="473"/>
      <c r="AG100" s="473"/>
      <c r="AH100" s="356">
        <f t="shared" si="40"/>
        <v>0</v>
      </c>
      <c r="AI100" s="475" t="s">
        <v>148</v>
      </c>
      <c r="AJ100" s="80">
        <v>12</v>
      </c>
      <c r="AK100" s="80">
        <v>12</v>
      </c>
      <c r="AL100" s="80">
        <v>12</v>
      </c>
      <c r="AM100" s="80">
        <v>12</v>
      </c>
      <c r="AN100" s="80">
        <v>12</v>
      </c>
      <c r="AO100" s="358">
        <v>12</v>
      </c>
      <c r="AP100" s="33">
        <f t="shared" si="47"/>
        <v>12</v>
      </c>
      <c r="AQ100" s="359" t="s">
        <v>316</v>
      </c>
      <c r="AR100" s="25">
        <v>0</v>
      </c>
      <c r="AS100" s="25">
        <v>4</v>
      </c>
      <c r="AT100" s="25">
        <v>4</v>
      </c>
      <c r="AU100" s="25">
        <v>4</v>
      </c>
      <c r="AV100" s="39" t="s">
        <v>678</v>
      </c>
      <c r="AW100" s="39" t="s">
        <v>984</v>
      </c>
      <c r="AX100" s="39" t="s">
        <v>992</v>
      </c>
      <c r="AY100" s="25">
        <v>368</v>
      </c>
      <c r="AZ100" s="39" t="s">
        <v>762</v>
      </c>
      <c r="BA100" s="40" t="s">
        <v>29</v>
      </c>
      <c r="BB100" s="360" t="s">
        <v>709</v>
      </c>
      <c r="BC100" s="361" t="s">
        <v>710</v>
      </c>
      <c r="BD100" s="40" t="s">
        <v>698</v>
      </c>
      <c r="BE100" s="387">
        <v>7055570.9400000004</v>
      </c>
      <c r="BF100" s="43" t="s">
        <v>993</v>
      </c>
      <c r="BG100" s="470" t="s">
        <v>994</v>
      </c>
      <c r="BH100" s="470"/>
      <c r="BI100" s="25" t="s">
        <v>988</v>
      </c>
      <c r="BJ100" s="26" t="s">
        <v>968</v>
      </c>
      <c r="BK100" s="26" t="s">
        <v>969</v>
      </c>
      <c r="BL100" s="359">
        <v>0</v>
      </c>
      <c r="BM100" s="359">
        <v>0</v>
      </c>
      <c r="BN100" s="359">
        <v>0</v>
      </c>
      <c r="BO100" s="366">
        <f t="shared" si="48"/>
        <v>0</v>
      </c>
      <c r="BP100" s="367">
        <f t="shared" si="49"/>
        <v>0</v>
      </c>
      <c r="BQ100" s="359">
        <v>4</v>
      </c>
      <c r="BR100" s="359">
        <v>1</v>
      </c>
      <c r="BS100" s="359">
        <v>1</v>
      </c>
      <c r="BT100" s="366">
        <f t="shared" si="50"/>
        <v>6</v>
      </c>
      <c r="BU100" s="367">
        <f t="shared" si="51"/>
        <v>0.5</v>
      </c>
      <c r="BV100" s="359">
        <v>1</v>
      </c>
      <c r="BW100" s="359">
        <v>1</v>
      </c>
      <c r="BX100" s="359">
        <v>1</v>
      </c>
      <c r="BY100" s="366">
        <f t="shared" si="52"/>
        <v>3</v>
      </c>
      <c r="BZ100" s="367">
        <f t="shared" si="53"/>
        <v>0.25</v>
      </c>
      <c r="CA100" s="359">
        <v>0</v>
      </c>
      <c r="CB100" s="359">
        <v>0</v>
      </c>
      <c r="CC100" s="359">
        <v>0</v>
      </c>
      <c r="CD100" s="366">
        <f t="shared" si="54"/>
        <v>0</v>
      </c>
      <c r="CE100" s="367">
        <f t="shared" si="55"/>
        <v>0</v>
      </c>
      <c r="CF100" s="368">
        <f t="shared" si="56"/>
        <v>9</v>
      </c>
      <c r="CG100" s="359">
        <f t="shared" si="41"/>
        <v>0.75</v>
      </c>
      <c r="CH100" s="369"/>
      <c r="CI100" s="369"/>
      <c r="CJ100" s="370">
        <v>0</v>
      </c>
      <c r="CK100" s="370">
        <v>0</v>
      </c>
      <c r="CL100" s="372">
        <v>0</v>
      </c>
      <c r="CM100" s="374">
        <v>0</v>
      </c>
      <c r="CN100" s="374">
        <f t="shared" si="57"/>
        <v>0</v>
      </c>
      <c r="CO100" s="370">
        <f t="shared" si="42"/>
        <v>0</v>
      </c>
      <c r="CP100" s="370">
        <v>0</v>
      </c>
      <c r="CQ100" s="370">
        <v>0</v>
      </c>
      <c r="CR100" s="372">
        <v>881946.36750000005</v>
      </c>
      <c r="CS100" s="374">
        <v>7055570.9400000004</v>
      </c>
      <c r="CT100" s="375">
        <f t="shared" si="58"/>
        <v>881946.36750000005</v>
      </c>
      <c r="CU100" s="370">
        <f t="shared" si="43"/>
        <v>0.125</v>
      </c>
      <c r="CV100" s="372">
        <v>881946.36750000005</v>
      </c>
      <c r="CW100" s="372">
        <v>881946.36750000005</v>
      </c>
      <c r="CX100" s="372">
        <v>0</v>
      </c>
      <c r="CY100" s="374">
        <v>0</v>
      </c>
      <c r="CZ100" s="375">
        <f t="shared" si="59"/>
        <v>1763892.7350000001</v>
      </c>
      <c r="DA100" s="370">
        <f t="shared" si="44"/>
        <v>0.25</v>
      </c>
      <c r="DB100" s="372">
        <f t="shared" si="82"/>
        <v>1763892.7350000001</v>
      </c>
      <c r="DC100" s="370">
        <v>881946.36750000005</v>
      </c>
      <c r="DD100" s="372">
        <v>0</v>
      </c>
      <c r="DE100" s="374">
        <v>0</v>
      </c>
      <c r="DF100" s="375">
        <f t="shared" si="71"/>
        <v>2645839.1025</v>
      </c>
      <c r="DG100" s="370">
        <f t="shared" si="45"/>
        <v>0.375</v>
      </c>
      <c r="DH100" s="376">
        <f t="shared" si="60"/>
        <v>7055570.9400000004</v>
      </c>
      <c r="DI100" s="376">
        <f t="shared" si="72"/>
        <v>5291678.2050000001</v>
      </c>
      <c r="DJ100" s="370">
        <f t="shared" si="46"/>
        <v>1</v>
      </c>
      <c r="DK100" s="370"/>
      <c r="DL100" s="377">
        <f t="shared" si="61"/>
        <v>7055570.9400000004</v>
      </c>
      <c r="DM100" s="370">
        <f t="shared" si="62"/>
        <v>0</v>
      </c>
      <c r="DN100" s="370">
        <f t="shared" si="63"/>
        <v>7055570.9400000004</v>
      </c>
      <c r="DO100" s="370">
        <f t="shared" si="64"/>
        <v>0</v>
      </c>
      <c r="DP100" s="370">
        <f t="shared" si="65"/>
        <v>0</v>
      </c>
      <c r="DQ100" s="378">
        <f t="shared" si="66"/>
        <v>5291678.2050000001</v>
      </c>
      <c r="DR100" s="370">
        <f t="shared" si="67"/>
        <v>0</v>
      </c>
      <c r="DS100" s="370">
        <f t="shared" si="68"/>
        <v>881946.36750000005</v>
      </c>
      <c r="DT100" s="370">
        <f t="shared" si="69"/>
        <v>1763892.7350000001</v>
      </c>
      <c r="DU100" s="370">
        <f t="shared" si="70"/>
        <v>2645839.1025</v>
      </c>
      <c r="DW100" s="300">
        <v>0</v>
      </c>
      <c r="DX100" s="300">
        <v>0</v>
      </c>
      <c r="DY100" s="300">
        <v>0</v>
      </c>
      <c r="DZ100" s="381">
        <f t="shared" si="73"/>
        <v>635001.38459999999</v>
      </c>
      <c r="EA100" s="382">
        <f t="shared" si="74"/>
        <v>7690572.3245999999</v>
      </c>
      <c r="EB100" s="608"/>
      <c r="EC100" s="280" t="s">
        <v>1177</v>
      </c>
    </row>
    <row r="101" spans="1:133" ht="147.75" hidden="1" customHeight="1" thickTop="1" thickBot="1">
      <c r="A101" s="133">
        <v>1</v>
      </c>
      <c r="B101" s="411" t="s">
        <v>6</v>
      </c>
      <c r="C101" s="135" t="s">
        <v>304</v>
      </c>
      <c r="D101" s="135" t="s">
        <v>305</v>
      </c>
      <c r="E101" s="412" t="s">
        <v>114</v>
      </c>
      <c r="F101" s="347" t="s">
        <v>306</v>
      </c>
      <c r="G101" s="467" t="s">
        <v>553</v>
      </c>
      <c r="H101" s="347" t="s">
        <v>556</v>
      </c>
      <c r="I101" s="347" t="s">
        <v>981</v>
      </c>
      <c r="J101" s="32">
        <v>57</v>
      </c>
      <c r="K101" s="348" t="s">
        <v>989</v>
      </c>
      <c r="L101" s="349" t="s">
        <v>990</v>
      </c>
      <c r="M101" s="349" t="s">
        <v>677</v>
      </c>
      <c r="N101" s="349" t="s">
        <v>11</v>
      </c>
      <c r="O101" s="350">
        <v>19</v>
      </c>
      <c r="P101" s="468" t="s">
        <v>23</v>
      </c>
      <c r="Q101" s="350">
        <v>1903</v>
      </c>
      <c r="R101" s="350">
        <v>1903016</v>
      </c>
      <c r="S101" s="468" t="s">
        <v>29</v>
      </c>
      <c r="T101" s="468" t="s">
        <v>568</v>
      </c>
      <c r="U101" s="350">
        <v>190301600</v>
      </c>
      <c r="V101" s="468" t="s">
        <v>30</v>
      </c>
      <c r="W101" s="417" t="s">
        <v>316</v>
      </c>
      <c r="X101" s="473"/>
      <c r="Y101" s="473"/>
      <c r="Z101" s="473"/>
      <c r="AA101" s="473"/>
      <c r="AB101" s="473"/>
      <c r="AC101" s="473"/>
      <c r="AD101" s="473"/>
      <c r="AE101" s="473"/>
      <c r="AF101" s="473"/>
      <c r="AG101" s="473"/>
      <c r="AH101" s="356">
        <f t="shared" si="40"/>
        <v>0</v>
      </c>
      <c r="AI101" s="474" t="s">
        <v>997</v>
      </c>
      <c r="AJ101" s="80">
        <v>12</v>
      </c>
      <c r="AK101" s="80">
        <v>12</v>
      </c>
      <c r="AL101" s="80">
        <v>12</v>
      </c>
      <c r="AM101" s="80">
        <v>12</v>
      </c>
      <c r="AN101" s="80">
        <v>12</v>
      </c>
      <c r="AO101" s="358">
        <v>12</v>
      </c>
      <c r="AP101" s="33">
        <f t="shared" si="47"/>
        <v>12</v>
      </c>
      <c r="AQ101" s="359" t="s">
        <v>316</v>
      </c>
      <c r="AR101" s="25">
        <v>0</v>
      </c>
      <c r="AS101" s="25">
        <v>4</v>
      </c>
      <c r="AT101" s="25">
        <v>4</v>
      </c>
      <c r="AU101" s="25">
        <v>4</v>
      </c>
      <c r="AV101" s="39" t="s">
        <v>678</v>
      </c>
      <c r="AW101" s="39" t="s">
        <v>984</v>
      </c>
      <c r="AX101" s="39" t="s">
        <v>992</v>
      </c>
      <c r="AY101" s="25">
        <v>368</v>
      </c>
      <c r="AZ101" s="39" t="s">
        <v>762</v>
      </c>
      <c r="BA101" s="40" t="s">
        <v>29</v>
      </c>
      <c r="BB101" s="360" t="s">
        <v>709</v>
      </c>
      <c r="BC101" s="361" t="s">
        <v>710</v>
      </c>
      <c r="BD101" s="40" t="s">
        <v>698</v>
      </c>
      <c r="BE101" s="387">
        <v>14819277</v>
      </c>
      <c r="BF101" s="43" t="s">
        <v>993</v>
      </c>
      <c r="BG101" s="470" t="s">
        <v>994</v>
      </c>
      <c r="BH101" s="470"/>
      <c r="BI101" s="25" t="s">
        <v>988</v>
      </c>
      <c r="BJ101" s="26" t="s">
        <v>968</v>
      </c>
      <c r="BK101" s="26" t="s">
        <v>969</v>
      </c>
      <c r="BL101" s="359">
        <v>0</v>
      </c>
      <c r="BM101" s="359">
        <v>0</v>
      </c>
      <c r="BN101" s="359">
        <v>0</v>
      </c>
      <c r="BO101" s="366">
        <f t="shared" si="48"/>
        <v>0</v>
      </c>
      <c r="BP101" s="367">
        <f t="shared" si="49"/>
        <v>0</v>
      </c>
      <c r="BQ101" s="359">
        <v>4</v>
      </c>
      <c r="BR101" s="359">
        <v>1</v>
      </c>
      <c r="BS101" s="359">
        <v>1</v>
      </c>
      <c r="BT101" s="366">
        <f t="shared" si="50"/>
        <v>6</v>
      </c>
      <c r="BU101" s="367">
        <f t="shared" si="51"/>
        <v>0.5</v>
      </c>
      <c r="BV101" s="359">
        <v>1</v>
      </c>
      <c r="BW101" s="359">
        <v>1</v>
      </c>
      <c r="BX101" s="359">
        <v>1</v>
      </c>
      <c r="BY101" s="366">
        <f t="shared" si="52"/>
        <v>3</v>
      </c>
      <c r="BZ101" s="367">
        <f t="shared" si="53"/>
        <v>0.25</v>
      </c>
      <c r="CA101" s="359">
        <v>0</v>
      </c>
      <c r="CB101" s="359">
        <v>0</v>
      </c>
      <c r="CC101" s="359">
        <v>0</v>
      </c>
      <c r="CD101" s="366">
        <f t="shared" si="54"/>
        <v>0</v>
      </c>
      <c r="CE101" s="367">
        <f t="shared" si="55"/>
        <v>0</v>
      </c>
      <c r="CF101" s="368">
        <f t="shared" si="56"/>
        <v>9</v>
      </c>
      <c r="CG101" s="359">
        <f t="shared" si="41"/>
        <v>0.75</v>
      </c>
      <c r="CH101" s="369"/>
      <c r="CI101" s="369"/>
      <c r="CJ101" s="370">
        <v>0</v>
      </c>
      <c r="CK101" s="370">
        <v>0</v>
      </c>
      <c r="CL101" s="372">
        <v>0</v>
      </c>
      <c r="CM101" s="374">
        <v>0</v>
      </c>
      <c r="CN101" s="374">
        <f t="shared" si="57"/>
        <v>0</v>
      </c>
      <c r="CO101" s="370">
        <f t="shared" si="42"/>
        <v>0</v>
      </c>
      <c r="CP101" s="370">
        <v>0</v>
      </c>
      <c r="CQ101" s="370">
        <v>0</v>
      </c>
      <c r="CR101" s="372">
        <v>1852409.625</v>
      </c>
      <c r="CS101" s="374">
        <v>14819277</v>
      </c>
      <c r="CT101" s="375">
        <f t="shared" si="58"/>
        <v>1852409.625</v>
      </c>
      <c r="CU101" s="370">
        <f t="shared" si="43"/>
        <v>0.125</v>
      </c>
      <c r="CV101" s="372">
        <v>1852409.625</v>
      </c>
      <c r="CW101" s="372">
        <v>1852409.625</v>
      </c>
      <c r="CX101" s="372">
        <v>0</v>
      </c>
      <c r="CY101" s="374">
        <v>0</v>
      </c>
      <c r="CZ101" s="375">
        <f t="shared" si="59"/>
        <v>3704819.25</v>
      </c>
      <c r="DA101" s="370">
        <f t="shared" si="44"/>
        <v>0.25</v>
      </c>
      <c r="DB101" s="372">
        <f t="shared" si="82"/>
        <v>3704819.25</v>
      </c>
      <c r="DC101" s="370">
        <v>1852409.625</v>
      </c>
      <c r="DD101" s="372">
        <v>0</v>
      </c>
      <c r="DE101" s="374">
        <v>0</v>
      </c>
      <c r="DF101" s="375">
        <f t="shared" si="71"/>
        <v>5557228.875</v>
      </c>
      <c r="DG101" s="370">
        <f t="shared" si="45"/>
        <v>0.375</v>
      </c>
      <c r="DH101" s="376">
        <f t="shared" si="60"/>
        <v>14819277</v>
      </c>
      <c r="DI101" s="376">
        <f t="shared" si="72"/>
        <v>11114457.75</v>
      </c>
      <c r="DJ101" s="370">
        <f t="shared" si="46"/>
        <v>1</v>
      </c>
      <c r="DK101" s="370"/>
      <c r="DL101" s="377">
        <f t="shared" si="61"/>
        <v>14819277</v>
      </c>
      <c r="DM101" s="370">
        <f t="shared" si="62"/>
        <v>0</v>
      </c>
      <c r="DN101" s="370">
        <f t="shared" si="63"/>
        <v>14819277</v>
      </c>
      <c r="DO101" s="370">
        <f t="shared" si="64"/>
        <v>0</v>
      </c>
      <c r="DP101" s="370">
        <f t="shared" si="65"/>
        <v>0</v>
      </c>
      <c r="DQ101" s="378">
        <f t="shared" si="66"/>
        <v>11114457.75</v>
      </c>
      <c r="DR101" s="370">
        <f t="shared" si="67"/>
        <v>0</v>
      </c>
      <c r="DS101" s="370">
        <f t="shared" si="68"/>
        <v>1852409.625</v>
      </c>
      <c r="DT101" s="370">
        <f t="shared" si="69"/>
        <v>3704819.25</v>
      </c>
      <c r="DU101" s="370">
        <f t="shared" si="70"/>
        <v>5557228.875</v>
      </c>
      <c r="DW101" s="300">
        <v>0</v>
      </c>
      <c r="DX101" s="300">
        <v>0</v>
      </c>
      <c r="DY101" s="300">
        <v>0</v>
      </c>
      <c r="DZ101" s="381">
        <f t="shared" si="73"/>
        <v>1333734.93</v>
      </c>
      <c r="EA101" s="382">
        <f t="shared" si="74"/>
        <v>16153011.93</v>
      </c>
      <c r="EB101" s="608"/>
      <c r="EC101" s="280" t="s">
        <v>1177</v>
      </c>
    </row>
    <row r="102" spans="1:133" ht="147.75" hidden="1" customHeight="1" thickTop="1" thickBot="1">
      <c r="A102" s="133">
        <v>1</v>
      </c>
      <c r="B102" s="411" t="s">
        <v>6</v>
      </c>
      <c r="C102" s="135" t="s">
        <v>304</v>
      </c>
      <c r="D102" s="135" t="s">
        <v>305</v>
      </c>
      <c r="E102" s="412" t="s">
        <v>114</v>
      </c>
      <c r="F102" s="347" t="s">
        <v>306</v>
      </c>
      <c r="G102" s="467" t="s">
        <v>553</v>
      </c>
      <c r="H102" s="347" t="s">
        <v>556</v>
      </c>
      <c r="I102" s="347" t="s">
        <v>981</v>
      </c>
      <c r="J102" s="32">
        <v>57</v>
      </c>
      <c r="K102" s="348" t="s">
        <v>989</v>
      </c>
      <c r="L102" s="349" t="s">
        <v>990</v>
      </c>
      <c r="M102" s="349" t="s">
        <v>677</v>
      </c>
      <c r="N102" s="349" t="s">
        <v>11</v>
      </c>
      <c r="O102" s="350">
        <v>19</v>
      </c>
      <c r="P102" s="468" t="s">
        <v>23</v>
      </c>
      <c r="Q102" s="350">
        <v>1903</v>
      </c>
      <c r="R102" s="350">
        <v>1903016</v>
      </c>
      <c r="S102" s="468" t="s">
        <v>29</v>
      </c>
      <c r="T102" s="468" t="s">
        <v>568</v>
      </c>
      <c r="U102" s="350">
        <v>190301600</v>
      </c>
      <c r="V102" s="468" t="s">
        <v>30</v>
      </c>
      <c r="W102" s="417" t="s">
        <v>316</v>
      </c>
      <c r="X102" s="473"/>
      <c r="Y102" s="473"/>
      <c r="Z102" s="473"/>
      <c r="AA102" s="473"/>
      <c r="AB102" s="473"/>
      <c r="AC102" s="473"/>
      <c r="AD102" s="473"/>
      <c r="AE102" s="473"/>
      <c r="AF102" s="473"/>
      <c r="AG102" s="473"/>
      <c r="AH102" s="356">
        <f>SUM(X102:AG102)</f>
        <v>0</v>
      </c>
      <c r="AI102" s="474" t="s">
        <v>149</v>
      </c>
      <c r="AJ102" s="80">
        <v>12</v>
      </c>
      <c r="AK102" s="80">
        <v>12</v>
      </c>
      <c r="AL102" s="80">
        <v>12</v>
      </c>
      <c r="AM102" s="80">
        <v>12</v>
      </c>
      <c r="AN102" s="80">
        <v>12</v>
      </c>
      <c r="AO102" s="358">
        <v>12</v>
      </c>
      <c r="AP102" s="476">
        <f t="shared" si="47"/>
        <v>100</v>
      </c>
      <c r="AQ102" s="359" t="s">
        <v>707</v>
      </c>
      <c r="AR102" s="25">
        <v>0</v>
      </c>
      <c r="AS102" s="25">
        <v>25</v>
      </c>
      <c r="AT102" s="25">
        <v>37.5</v>
      </c>
      <c r="AU102" s="25">
        <v>37.5</v>
      </c>
      <c r="AV102" s="39" t="s">
        <v>678</v>
      </c>
      <c r="AW102" s="39" t="s">
        <v>984</v>
      </c>
      <c r="AX102" s="40" t="s">
        <v>998</v>
      </c>
      <c r="AY102" s="25">
        <v>511</v>
      </c>
      <c r="AZ102" s="39" t="s">
        <v>762</v>
      </c>
      <c r="BA102" s="40" t="s">
        <v>29</v>
      </c>
      <c r="BB102" s="360" t="s">
        <v>972</v>
      </c>
      <c r="BC102" s="398" t="s">
        <v>748</v>
      </c>
      <c r="BD102" s="399" t="s">
        <v>749</v>
      </c>
      <c r="BE102" s="387">
        <v>30000000</v>
      </c>
      <c r="BF102" s="43" t="s">
        <v>993</v>
      </c>
      <c r="BG102" s="470" t="s">
        <v>994</v>
      </c>
      <c r="BH102" s="470"/>
      <c r="BI102" s="25" t="s">
        <v>988</v>
      </c>
      <c r="BJ102" s="26" t="s">
        <v>968</v>
      </c>
      <c r="BK102" s="26" t="s">
        <v>969</v>
      </c>
      <c r="BL102" s="359">
        <v>0</v>
      </c>
      <c r="BM102" s="359">
        <v>0</v>
      </c>
      <c r="BN102" s="359">
        <v>0</v>
      </c>
      <c r="BO102" s="366">
        <f>SUM(BL102:BN102)</f>
        <v>0</v>
      </c>
      <c r="BP102" s="367">
        <f>BO102/AP102</f>
        <v>0</v>
      </c>
      <c r="BQ102" s="359">
        <v>0</v>
      </c>
      <c r="BR102" s="359">
        <v>12.5</v>
      </c>
      <c r="BS102" s="359">
        <v>12.5</v>
      </c>
      <c r="BT102" s="366">
        <f>SUM(BQ102:BS102)</f>
        <v>25</v>
      </c>
      <c r="BU102" s="367">
        <f>BT102/AP102</f>
        <v>0.25</v>
      </c>
      <c r="BV102" s="359">
        <v>12.5</v>
      </c>
      <c r="BW102" s="359">
        <v>12.5</v>
      </c>
      <c r="BX102" s="359">
        <v>12.5</v>
      </c>
      <c r="BY102" s="366">
        <f>SUM(BV102:BX102)</f>
        <v>37.5</v>
      </c>
      <c r="BZ102" s="367">
        <f>BY102/AP102</f>
        <v>0.375</v>
      </c>
      <c r="CA102" s="359">
        <v>0</v>
      </c>
      <c r="CB102" s="359">
        <v>0</v>
      </c>
      <c r="CC102" s="359">
        <v>0</v>
      </c>
      <c r="CD102" s="366">
        <f>SUM(CA102:CC102)</f>
        <v>0</v>
      </c>
      <c r="CE102" s="367">
        <f>CD102/AU102</f>
        <v>0</v>
      </c>
      <c r="CF102" s="368">
        <f>BO102+BT102+BY102+CD102</f>
        <v>62.5</v>
      </c>
      <c r="CG102" s="359">
        <f>CF102/AP102</f>
        <v>0.625</v>
      </c>
      <c r="CH102" s="369"/>
      <c r="CI102" s="369"/>
      <c r="CJ102" s="370">
        <v>0</v>
      </c>
      <c r="CK102" s="370">
        <v>0</v>
      </c>
      <c r="CL102" s="372">
        <v>0</v>
      </c>
      <c r="CM102" s="374">
        <v>0</v>
      </c>
      <c r="CN102" s="374">
        <f>SUM(CJ102:CL102)</f>
        <v>0</v>
      </c>
      <c r="CO102" s="370">
        <f>CN102/BE102</f>
        <v>0</v>
      </c>
      <c r="CP102" s="370">
        <v>0</v>
      </c>
      <c r="CQ102" s="370">
        <v>0</v>
      </c>
      <c r="CR102" s="372">
        <v>3750000</v>
      </c>
      <c r="CS102" s="374">
        <v>30000000</v>
      </c>
      <c r="CT102" s="375">
        <f>SUM(CP102:CR102)</f>
        <v>3750000</v>
      </c>
      <c r="CU102" s="370">
        <f>CT102/BE102</f>
        <v>0.125</v>
      </c>
      <c r="CV102" s="370">
        <v>3750000</v>
      </c>
      <c r="CW102" s="370">
        <v>3750000</v>
      </c>
      <c r="CX102" s="372">
        <v>0</v>
      </c>
      <c r="CY102" s="374">
        <v>0</v>
      </c>
      <c r="CZ102" s="375">
        <f>SUM(CV102:CX102)</f>
        <v>7500000</v>
      </c>
      <c r="DA102" s="370">
        <f>CZ102/BE102</f>
        <v>0.25</v>
      </c>
      <c r="DB102" s="370">
        <f>3750000*2</f>
        <v>7500000</v>
      </c>
      <c r="DC102" s="370">
        <v>3750000</v>
      </c>
      <c r="DD102" s="372">
        <v>0</v>
      </c>
      <c r="DE102" s="374">
        <v>0</v>
      </c>
      <c r="DF102" s="375">
        <f t="shared" si="71"/>
        <v>11250000</v>
      </c>
      <c r="DG102" s="370">
        <f>DF102/BE102</f>
        <v>0.375</v>
      </c>
      <c r="DH102" s="376">
        <f t="shared" si="60"/>
        <v>30000000</v>
      </c>
      <c r="DI102" s="376">
        <f t="shared" si="72"/>
        <v>22500000</v>
      </c>
      <c r="DJ102" s="370">
        <f>DH102/BE102</f>
        <v>1</v>
      </c>
      <c r="DK102" s="370"/>
      <c r="DL102" s="377">
        <f t="shared" si="61"/>
        <v>30000000</v>
      </c>
      <c r="DM102" s="370">
        <f t="shared" si="62"/>
        <v>0</v>
      </c>
      <c r="DN102" s="370">
        <f t="shared" si="63"/>
        <v>30000000</v>
      </c>
      <c r="DO102" s="370">
        <f t="shared" si="64"/>
        <v>0</v>
      </c>
      <c r="DP102" s="370">
        <f t="shared" si="65"/>
        <v>0</v>
      </c>
      <c r="DQ102" s="378">
        <f t="shared" si="66"/>
        <v>22500000</v>
      </c>
      <c r="DR102" s="370">
        <f t="shared" si="67"/>
        <v>0</v>
      </c>
      <c r="DS102" s="370">
        <f t="shared" si="68"/>
        <v>3750000</v>
      </c>
      <c r="DT102" s="370">
        <f t="shared" si="69"/>
        <v>7500000</v>
      </c>
      <c r="DU102" s="370">
        <f t="shared" si="70"/>
        <v>11250000</v>
      </c>
      <c r="DW102" s="300">
        <v>0</v>
      </c>
      <c r="DX102" s="300">
        <v>0</v>
      </c>
      <c r="DY102" s="300">
        <v>0</v>
      </c>
      <c r="DZ102" s="381">
        <f t="shared" si="73"/>
        <v>2700000</v>
      </c>
      <c r="EA102" s="382">
        <v>30000000</v>
      </c>
      <c r="EB102" s="400"/>
    </row>
    <row r="103" spans="1:133" ht="114" customHeight="1" thickTop="1">
      <c r="A103" s="133">
        <v>1</v>
      </c>
      <c r="B103" s="411" t="s">
        <v>6</v>
      </c>
      <c r="C103" s="135" t="s">
        <v>304</v>
      </c>
      <c r="D103" s="135" t="s">
        <v>305</v>
      </c>
      <c r="E103" s="412" t="s">
        <v>114</v>
      </c>
      <c r="F103" s="347" t="s">
        <v>306</v>
      </c>
      <c r="G103" s="467" t="s">
        <v>570</v>
      </c>
      <c r="H103" s="347" t="s">
        <v>573</v>
      </c>
      <c r="I103" s="347" t="s">
        <v>999</v>
      </c>
      <c r="J103" s="76">
        <v>59</v>
      </c>
      <c r="K103" s="419" t="s">
        <v>1000</v>
      </c>
      <c r="L103" s="347" t="s">
        <v>1001</v>
      </c>
      <c r="M103" s="347" t="s">
        <v>677</v>
      </c>
      <c r="N103" s="423" t="s">
        <v>11</v>
      </c>
      <c r="O103" s="424">
        <v>19</v>
      </c>
      <c r="P103" s="47" t="s">
        <v>12</v>
      </c>
      <c r="Q103" s="76">
        <v>1906</v>
      </c>
      <c r="R103" s="76">
        <v>1906026</v>
      </c>
      <c r="S103" s="47" t="s">
        <v>15</v>
      </c>
      <c r="T103" s="47" t="s">
        <v>577</v>
      </c>
      <c r="U103" s="76">
        <v>190602601</v>
      </c>
      <c r="V103" s="47" t="s">
        <v>9</v>
      </c>
      <c r="W103" s="473" t="s">
        <v>316</v>
      </c>
      <c r="X103" s="473"/>
      <c r="Y103" s="473"/>
      <c r="Z103" s="473"/>
      <c r="AA103" s="473"/>
      <c r="AB103" s="473"/>
      <c r="AC103" s="473"/>
      <c r="AD103" s="473"/>
      <c r="AE103" s="473"/>
      <c r="AF103" s="473"/>
      <c r="AG103" s="473"/>
      <c r="AH103" s="396">
        <f t="shared" si="40"/>
        <v>0</v>
      </c>
      <c r="AI103" s="474" t="s">
        <v>1002</v>
      </c>
      <c r="AJ103" s="477">
        <v>1</v>
      </c>
      <c r="AK103" s="477">
        <v>1</v>
      </c>
      <c r="AL103" s="477">
        <v>1</v>
      </c>
      <c r="AM103" s="477" t="s">
        <v>5</v>
      </c>
      <c r="AN103" s="477" t="s">
        <v>5</v>
      </c>
      <c r="AO103" s="478" t="s">
        <v>5</v>
      </c>
      <c r="AP103" s="476">
        <f t="shared" si="47"/>
        <v>1</v>
      </c>
      <c r="AQ103" s="479" t="s">
        <v>316</v>
      </c>
      <c r="AR103" s="480">
        <v>0</v>
      </c>
      <c r="AS103" s="480">
        <v>0</v>
      </c>
      <c r="AT103" s="480">
        <v>0</v>
      </c>
      <c r="AU103" s="480">
        <v>1</v>
      </c>
      <c r="AV103" s="47" t="s">
        <v>678</v>
      </c>
      <c r="AW103" s="47" t="s">
        <v>1003</v>
      </c>
      <c r="AX103" s="40" t="s">
        <v>1004</v>
      </c>
      <c r="AY103" s="32">
        <v>520</v>
      </c>
      <c r="AZ103" s="39" t="s">
        <v>681</v>
      </c>
      <c r="BA103" s="40" t="s">
        <v>13</v>
      </c>
      <c r="BB103" s="360" t="s">
        <v>1005</v>
      </c>
      <c r="BC103" s="453" t="s">
        <v>1006</v>
      </c>
      <c r="BD103" s="84" t="s">
        <v>1007</v>
      </c>
      <c r="BE103" s="481">
        <v>1609575.82</v>
      </c>
      <c r="BF103" s="482" t="s">
        <v>1008</v>
      </c>
      <c r="BG103" s="483" t="s">
        <v>1009</v>
      </c>
      <c r="BH103" s="470"/>
      <c r="BI103" s="484" t="s">
        <v>1010</v>
      </c>
      <c r="BJ103" s="26" t="s">
        <v>1011</v>
      </c>
      <c r="BK103" s="483" t="s">
        <v>1012</v>
      </c>
      <c r="BL103" s="359">
        <v>0</v>
      </c>
      <c r="BM103" s="359">
        <v>0</v>
      </c>
      <c r="BN103" s="359">
        <v>0</v>
      </c>
      <c r="BO103" s="366">
        <f t="shared" si="48"/>
        <v>0</v>
      </c>
      <c r="BP103" s="367">
        <f t="shared" si="49"/>
        <v>0</v>
      </c>
      <c r="BQ103" s="359">
        <v>0</v>
      </c>
      <c r="BR103" s="359">
        <v>0</v>
      </c>
      <c r="BS103" s="359">
        <v>0</v>
      </c>
      <c r="BT103" s="366">
        <f t="shared" si="50"/>
        <v>0</v>
      </c>
      <c r="BU103" s="367">
        <f t="shared" si="51"/>
        <v>0</v>
      </c>
      <c r="BV103" s="359">
        <v>0</v>
      </c>
      <c r="BW103" s="359">
        <v>0</v>
      </c>
      <c r="BX103" s="359">
        <v>0</v>
      </c>
      <c r="BY103" s="366">
        <f t="shared" si="52"/>
        <v>0</v>
      </c>
      <c r="BZ103" s="367">
        <f t="shared" si="53"/>
        <v>0</v>
      </c>
      <c r="CA103" s="359">
        <v>0</v>
      </c>
      <c r="CB103" s="359">
        <v>0</v>
      </c>
      <c r="CC103" s="359">
        <v>0</v>
      </c>
      <c r="CD103" s="366">
        <f t="shared" si="54"/>
        <v>0</v>
      </c>
      <c r="CE103" s="367">
        <f t="shared" si="55"/>
        <v>0</v>
      </c>
      <c r="CF103" s="368">
        <f t="shared" si="56"/>
        <v>0</v>
      </c>
      <c r="CG103" s="479">
        <f t="shared" si="41"/>
        <v>0</v>
      </c>
      <c r="CH103" s="485"/>
      <c r="CI103" s="485"/>
      <c r="CJ103" s="370">
        <v>0</v>
      </c>
      <c r="CK103" s="370">
        <v>0</v>
      </c>
      <c r="CL103" s="372">
        <v>0</v>
      </c>
      <c r="CM103" s="374">
        <v>0</v>
      </c>
      <c r="CN103" s="374">
        <f t="shared" si="57"/>
        <v>0</v>
      </c>
      <c r="CO103" s="370">
        <f>CN103/BE103</f>
        <v>0</v>
      </c>
      <c r="CP103" s="370">
        <v>0</v>
      </c>
      <c r="CQ103" s="370">
        <v>0</v>
      </c>
      <c r="CR103" s="372">
        <v>0</v>
      </c>
      <c r="CS103" s="374">
        <v>0</v>
      </c>
      <c r="CT103" s="375">
        <f t="shared" si="58"/>
        <v>0</v>
      </c>
      <c r="CU103" s="486" t="e">
        <f>CT103/BF103</f>
        <v>#VALUE!</v>
      </c>
      <c r="CV103" s="370">
        <v>0</v>
      </c>
      <c r="CW103" s="370">
        <v>0</v>
      </c>
      <c r="CX103" s="372">
        <v>0</v>
      </c>
      <c r="CY103" s="374">
        <v>0</v>
      </c>
      <c r="CZ103" s="375">
        <f t="shared" si="59"/>
        <v>0</v>
      </c>
      <c r="DA103" s="486" t="e">
        <f>CZ103/BF103</f>
        <v>#VALUE!</v>
      </c>
      <c r="DB103" s="370">
        <v>0</v>
      </c>
      <c r="DC103" s="370">
        <v>0</v>
      </c>
      <c r="DD103" s="372">
        <v>0</v>
      </c>
      <c r="DE103" s="374">
        <v>0</v>
      </c>
      <c r="DF103" s="375">
        <f t="shared" si="71"/>
        <v>0</v>
      </c>
      <c r="DG103" s="486" t="e">
        <f>DF103/BF103</f>
        <v>#VALUE!</v>
      </c>
      <c r="DH103" s="376">
        <f t="shared" si="60"/>
        <v>0</v>
      </c>
      <c r="DI103" s="376">
        <f t="shared" si="72"/>
        <v>0</v>
      </c>
      <c r="DJ103" s="370">
        <f>DH103/BE103</f>
        <v>0</v>
      </c>
      <c r="DK103" s="486"/>
      <c r="DL103" s="377">
        <f t="shared" si="61"/>
        <v>0</v>
      </c>
      <c r="DM103" s="370">
        <f t="shared" si="62"/>
        <v>0</v>
      </c>
      <c r="DN103" s="370">
        <f t="shared" si="63"/>
        <v>0</v>
      </c>
      <c r="DO103" s="370">
        <f t="shared" si="64"/>
        <v>0</v>
      </c>
      <c r="DP103" s="370">
        <f t="shared" si="65"/>
        <v>0</v>
      </c>
      <c r="DQ103" s="378">
        <f t="shared" si="66"/>
        <v>0</v>
      </c>
      <c r="DR103" s="370">
        <f t="shared" si="67"/>
        <v>0</v>
      </c>
      <c r="DS103" s="370">
        <f t="shared" si="68"/>
        <v>0</v>
      </c>
      <c r="DT103" s="370">
        <f t="shared" si="69"/>
        <v>0</v>
      </c>
      <c r="DU103" s="370">
        <f t="shared" si="70"/>
        <v>0</v>
      </c>
      <c r="DZ103" s="381">
        <f t="shared" si="73"/>
        <v>144861.82380000001</v>
      </c>
      <c r="EA103" s="382">
        <v>0</v>
      </c>
      <c r="EB103" s="400" t="s">
        <v>1005</v>
      </c>
    </row>
    <row r="104" spans="1:133" s="442" customFormat="1" ht="132.75" customHeight="1">
      <c r="F104" s="487"/>
      <c r="K104" s="419" t="s">
        <v>1000</v>
      </c>
      <c r="N104" s="423" t="s">
        <v>11</v>
      </c>
      <c r="O104" s="424">
        <v>19</v>
      </c>
      <c r="P104" s="47" t="s">
        <v>12</v>
      </c>
      <c r="Q104" s="76">
        <v>1906</v>
      </c>
      <c r="R104" s="438">
        <v>1906036</v>
      </c>
      <c r="S104" s="438" t="s">
        <v>1013</v>
      </c>
      <c r="T104" s="47" t="s">
        <v>577</v>
      </c>
      <c r="U104" s="30">
        <v>190603600</v>
      </c>
      <c r="V104" s="29" t="s">
        <v>112</v>
      </c>
      <c r="W104" s="369"/>
      <c r="X104" s="369"/>
      <c r="Y104" s="369"/>
      <c r="Z104" s="369"/>
      <c r="AA104" s="369"/>
      <c r="AB104" s="369"/>
      <c r="AC104" s="369"/>
      <c r="AD104" s="369"/>
      <c r="AE104" s="369"/>
      <c r="AF104" s="369"/>
      <c r="AG104" s="369"/>
      <c r="AH104" s="369"/>
      <c r="AI104" s="397" t="s">
        <v>1014</v>
      </c>
      <c r="AJ104" s="40"/>
      <c r="AK104" s="40"/>
      <c r="AL104" s="40"/>
      <c r="AM104" s="40"/>
      <c r="AN104" s="40"/>
      <c r="AO104" s="40"/>
      <c r="AP104" s="33">
        <v>1</v>
      </c>
      <c r="AQ104" s="40"/>
      <c r="AR104" s="40">
        <v>0</v>
      </c>
      <c r="AS104" s="40">
        <v>1</v>
      </c>
      <c r="AT104" s="40">
        <v>0</v>
      </c>
      <c r="AU104" s="40">
        <v>0</v>
      </c>
      <c r="AV104" s="47" t="s">
        <v>678</v>
      </c>
      <c r="AW104" s="47" t="s">
        <v>1003</v>
      </c>
      <c r="AX104" s="438" t="s">
        <v>1015</v>
      </c>
      <c r="AY104" s="25">
        <v>445</v>
      </c>
      <c r="AZ104" s="39" t="s">
        <v>681</v>
      </c>
      <c r="BA104" s="438" t="s">
        <v>1016</v>
      </c>
      <c r="BB104" s="440" t="s">
        <v>1017</v>
      </c>
      <c r="BC104" s="398" t="s">
        <v>748</v>
      </c>
      <c r="BD104" s="488" t="s">
        <v>1018</v>
      </c>
      <c r="BE104" s="426">
        <v>450220007.89999998</v>
      </c>
      <c r="BF104" s="32" t="s">
        <v>1019</v>
      </c>
      <c r="BG104" s="369"/>
      <c r="BH104" s="369"/>
      <c r="BI104" s="369"/>
      <c r="BJ104" s="26" t="s">
        <v>1020</v>
      </c>
      <c r="BK104" s="483" t="s">
        <v>1012</v>
      </c>
      <c r="BL104" s="369"/>
      <c r="BM104" s="369"/>
      <c r="BN104" s="369"/>
      <c r="BO104" s="366">
        <f>SUM(BL104:BN104)</f>
        <v>0</v>
      </c>
      <c r="BP104" s="367">
        <f>BO104/AP104</f>
        <v>0</v>
      </c>
      <c r="BQ104" s="359">
        <v>0</v>
      </c>
      <c r="BR104" s="359">
        <v>0</v>
      </c>
      <c r="BS104" s="359">
        <v>0</v>
      </c>
      <c r="BT104" s="366">
        <f>SUM(BQ104:BS104)</f>
        <v>0</v>
      </c>
      <c r="BU104" s="367">
        <f>BT104/AP104</f>
        <v>0</v>
      </c>
      <c r="BV104" s="359">
        <v>0</v>
      </c>
      <c r="BW104" s="359">
        <v>1</v>
      </c>
      <c r="BX104" s="359">
        <v>0</v>
      </c>
      <c r="BY104" s="366">
        <f>SUM(BV104:BX104)</f>
        <v>1</v>
      </c>
      <c r="BZ104" s="367">
        <f>BY104/AP104</f>
        <v>1</v>
      </c>
      <c r="CA104" s="359">
        <v>0</v>
      </c>
      <c r="CB104" s="359">
        <v>0</v>
      </c>
      <c r="CC104" s="359">
        <v>0</v>
      </c>
      <c r="CD104" s="366">
        <f>SUM(CA104:CC104)</f>
        <v>0</v>
      </c>
      <c r="CE104" s="367" t="e">
        <f>CD104/AU104</f>
        <v>#DIV/0!</v>
      </c>
      <c r="CF104" s="368">
        <f>BO104+BT104+BY104+CD104</f>
        <v>1</v>
      </c>
      <c r="CG104" s="479">
        <f>CF104/AP104</f>
        <v>1</v>
      </c>
      <c r="CH104" s="485"/>
      <c r="CI104" s="485"/>
      <c r="CJ104" s="370">
        <v>0</v>
      </c>
      <c r="CK104" s="370">
        <v>0</v>
      </c>
      <c r="CL104" s="372">
        <v>0</v>
      </c>
      <c r="CM104" s="374">
        <v>0</v>
      </c>
      <c r="CN104" s="374">
        <f>SUM(CJ104:CL104)</f>
        <v>0</v>
      </c>
      <c r="CO104" s="370">
        <f>CN104/BE104</f>
        <v>0</v>
      </c>
      <c r="CP104" s="370">
        <v>0</v>
      </c>
      <c r="CQ104" s="370">
        <v>0</v>
      </c>
      <c r="CR104" s="372">
        <v>0</v>
      </c>
      <c r="CS104" s="374">
        <v>450220007</v>
      </c>
      <c r="CT104" s="375">
        <f>SUM(CP104:CR104)</f>
        <v>0</v>
      </c>
      <c r="CU104" s="486" t="e">
        <f>CT104/BF104</f>
        <v>#VALUE!</v>
      </c>
      <c r="CV104" s="370">
        <v>0</v>
      </c>
      <c r="CW104" s="370">
        <v>450220007</v>
      </c>
      <c r="CX104" s="372">
        <v>0</v>
      </c>
      <c r="CY104" s="374">
        <v>0</v>
      </c>
      <c r="CZ104" s="375">
        <f>SUM(CV104:CX104)</f>
        <v>450220007</v>
      </c>
      <c r="DA104" s="486" t="e">
        <f>CZ104/BF104</f>
        <v>#VALUE!</v>
      </c>
      <c r="DB104" s="370">
        <v>0</v>
      </c>
      <c r="DC104" s="370">
        <v>0</v>
      </c>
      <c r="DD104" s="372">
        <v>0</v>
      </c>
      <c r="DE104" s="374">
        <v>0</v>
      </c>
      <c r="DF104" s="375">
        <f t="shared" si="71"/>
        <v>0</v>
      </c>
      <c r="DG104" s="486" t="e">
        <f>DF104/BF104</f>
        <v>#VALUE!</v>
      </c>
      <c r="DH104" s="376">
        <f t="shared" si="60"/>
        <v>450220007</v>
      </c>
      <c r="DI104" s="376">
        <f t="shared" si="72"/>
        <v>450220007</v>
      </c>
      <c r="DJ104" s="370">
        <f>DH104/BE104</f>
        <v>0.99999999800097739</v>
      </c>
      <c r="DK104" s="369"/>
      <c r="DL104" s="377">
        <f t="shared" si="61"/>
        <v>450220007</v>
      </c>
      <c r="DM104" s="370">
        <f t="shared" si="62"/>
        <v>0</v>
      </c>
      <c r="DN104" s="370">
        <f t="shared" si="63"/>
        <v>450220007</v>
      </c>
      <c r="DO104" s="370">
        <f t="shared" si="64"/>
        <v>0</v>
      </c>
      <c r="DP104" s="370">
        <f t="shared" si="65"/>
        <v>0</v>
      </c>
      <c r="DQ104" s="378">
        <f t="shared" si="66"/>
        <v>450220007</v>
      </c>
      <c r="DR104" s="370">
        <f t="shared" si="67"/>
        <v>0</v>
      </c>
      <c r="DS104" s="370">
        <f t="shared" si="68"/>
        <v>0</v>
      </c>
      <c r="DT104" s="370">
        <f t="shared" si="69"/>
        <v>450220007</v>
      </c>
      <c r="DU104" s="370">
        <f t="shared" si="70"/>
        <v>0</v>
      </c>
      <c r="DV104" s="489"/>
      <c r="DW104" s="379"/>
      <c r="DX104" s="379"/>
      <c r="DY104" s="379"/>
      <c r="DZ104" s="381">
        <f t="shared" si="73"/>
        <v>40519800.710999995</v>
      </c>
      <c r="EA104" s="382">
        <v>0</v>
      </c>
      <c r="EB104" s="430" t="s">
        <v>1017</v>
      </c>
      <c r="EC104" s="441"/>
    </row>
    <row r="105" spans="1:133" s="217" customFormat="1" ht="51" hidden="1" customHeight="1">
      <c r="A105" s="116"/>
      <c r="B105" s="490"/>
      <c r="C105" s="491"/>
      <c r="D105" s="491"/>
      <c r="E105" s="490"/>
      <c r="F105" s="490"/>
      <c r="G105" s="492"/>
      <c r="H105" s="490"/>
      <c r="I105" s="490"/>
      <c r="J105" s="493"/>
      <c r="K105" s="494"/>
      <c r="L105" s="346"/>
      <c r="M105" s="346"/>
      <c r="N105" s="495"/>
      <c r="O105" s="496"/>
      <c r="P105" s="497"/>
      <c r="Q105" s="110"/>
      <c r="R105" s="110"/>
      <c r="S105" s="498"/>
      <c r="T105" s="498"/>
      <c r="U105" s="499"/>
      <c r="V105" s="498"/>
      <c r="W105" s="500"/>
      <c r="X105" s="500"/>
      <c r="Y105" s="500"/>
      <c r="Z105" s="500"/>
      <c r="AA105" s="500"/>
      <c r="AB105" s="500"/>
      <c r="AC105" s="500"/>
      <c r="AD105" s="500"/>
      <c r="AE105" s="500"/>
      <c r="AF105" s="500"/>
      <c r="AG105" s="500"/>
      <c r="AH105" s="501"/>
      <c r="AI105" s="502"/>
      <c r="AJ105" s="477"/>
      <c r="AK105" s="477"/>
      <c r="AL105" s="477"/>
      <c r="AM105" s="477"/>
      <c r="AN105" s="477"/>
      <c r="AO105" s="477"/>
      <c r="AP105" s="503"/>
      <c r="AQ105" s="135"/>
      <c r="AR105" s="477"/>
      <c r="AS105" s="477"/>
      <c r="AT105" s="477"/>
      <c r="AU105" s="477"/>
      <c r="AV105" s="504"/>
      <c r="AW105" s="504"/>
      <c r="AX105" s="505"/>
      <c r="AY105" s="505"/>
      <c r="AZ105" s="506"/>
      <c r="BA105" s="505"/>
      <c r="BB105" s="505"/>
      <c r="BC105" s="412"/>
      <c r="BD105" s="507" t="s">
        <v>588</v>
      </c>
      <c r="BE105" s="508">
        <f>SUM(BE2:BE104)</f>
        <v>113203451053.899</v>
      </c>
      <c r="BF105" s="505"/>
      <c r="BG105" s="509"/>
      <c r="BH105" s="510"/>
      <c r="BI105" s="511"/>
      <c r="BJ105" s="511"/>
      <c r="BK105" s="511"/>
      <c r="BL105" s="508">
        <f>SUM(BL2:BL104)</f>
        <v>0</v>
      </c>
      <c r="BM105" s="508">
        <f>SUM(BM2:BM104)</f>
        <v>6</v>
      </c>
      <c r="BN105" s="508">
        <f>SUM(BN2:BN104)</f>
        <v>6</v>
      </c>
      <c r="BO105" s="512"/>
      <c r="BP105" s="512"/>
      <c r="BQ105" s="512"/>
      <c r="BR105" s="512"/>
      <c r="BS105" s="512"/>
      <c r="BT105" s="512"/>
      <c r="BU105" s="512"/>
      <c r="BV105" s="512"/>
      <c r="BW105" s="512"/>
      <c r="BX105" s="512"/>
      <c r="BY105" s="512"/>
      <c r="BZ105" s="512"/>
      <c r="CA105" s="512"/>
      <c r="CB105" s="512"/>
      <c r="CC105" s="512"/>
      <c r="CD105" s="512"/>
      <c r="CE105" s="512"/>
      <c r="CF105" s="512"/>
      <c r="CG105" s="512"/>
      <c r="CH105" s="512"/>
      <c r="CI105" s="512"/>
      <c r="CJ105" s="508">
        <f>SUM(CJ2:CJ104)</f>
        <v>0</v>
      </c>
      <c r="CK105" s="508">
        <f>SUM(CK2:CK104)</f>
        <v>18312492540.77</v>
      </c>
      <c r="CL105" s="508">
        <f>SUM(CL2:CL104)</f>
        <v>9126537310.3100014</v>
      </c>
      <c r="CM105" s="508">
        <f>SUM(CM2:CM104)</f>
        <v>28264974391.168995</v>
      </c>
      <c r="CN105" s="508">
        <f>SUM(CN2:CN104)</f>
        <v>27439029851.080002</v>
      </c>
      <c r="CO105" s="508"/>
      <c r="CP105" s="508"/>
      <c r="CQ105" s="508"/>
      <c r="CR105" s="508"/>
      <c r="CS105" s="508">
        <f>SUM(CS2:CS104)</f>
        <v>29377421042.350006</v>
      </c>
      <c r="CT105" s="508">
        <f>SUM(CT2:CT104)</f>
        <v>27625545326.246063</v>
      </c>
      <c r="CU105" s="508" t="e">
        <f>SUM(CU2:CU104)</f>
        <v>#VALUE!</v>
      </c>
      <c r="CV105" s="508">
        <f>SUM(CV2:CV104)</f>
        <v>9363949192.1551113</v>
      </c>
      <c r="CW105" s="508">
        <f>SUM(CW2:CW104)</f>
        <v>9841907633.408493</v>
      </c>
      <c r="CX105" s="508">
        <f>SUM(CX2:CX104)</f>
        <v>9483639607.3727207</v>
      </c>
      <c r="CY105" s="508">
        <f>SUM(CY2:CY104)</f>
        <v>27495644050.170002</v>
      </c>
      <c r="CZ105" s="508">
        <f>SUM(CZ2:CZ104)</f>
        <v>28689496432.936337</v>
      </c>
      <c r="DA105" s="508" t="e">
        <f>SUM(DA2:DA104)</f>
        <v>#VALUE!</v>
      </c>
      <c r="DB105" s="508">
        <f>SUM(DB2:DB104)</f>
        <v>9478263952.9228516</v>
      </c>
      <c r="DC105" s="508">
        <f>SUM(DC2:DC104)</f>
        <v>9405098765.4762459</v>
      </c>
      <c r="DD105" s="508">
        <f>SUM(DD2:DD104)</f>
        <v>9280382725.3195496</v>
      </c>
      <c r="DE105" s="508">
        <f>SUM(DE2:DE104)</f>
        <v>27215237216.540001</v>
      </c>
      <c r="DF105" s="508">
        <f>SUM(DF2:DF104)</f>
        <v>28163745443.718647</v>
      </c>
      <c r="DG105" s="508" t="e">
        <f>SUM(DG2:DG104)</f>
        <v>#VALUE!</v>
      </c>
      <c r="DH105" s="508">
        <f>SUM(DH2:DH104)</f>
        <v>112353276700.22902</v>
      </c>
      <c r="DI105" s="508">
        <f>SUM(DI2:DI104)</f>
        <v>111917817053.98102</v>
      </c>
      <c r="DJ105" s="508"/>
      <c r="DK105" s="508"/>
      <c r="DL105" s="508">
        <f t="shared" ref="DL105:DU105" si="83">SUM(DL2:DL104)</f>
        <v>112353276700.22902</v>
      </c>
      <c r="DM105" s="508">
        <f t="shared" si="83"/>
        <v>28264974391.168995</v>
      </c>
      <c r="DN105" s="508">
        <f t="shared" si="83"/>
        <v>29377421042.350006</v>
      </c>
      <c r="DO105" s="508">
        <f t="shared" si="83"/>
        <v>27495644050.170002</v>
      </c>
      <c r="DP105" s="508">
        <f t="shared" si="83"/>
        <v>27215237216.540001</v>
      </c>
      <c r="DQ105" s="508">
        <f t="shared" si="83"/>
        <v>111917817053.98102</v>
      </c>
      <c r="DR105" s="508">
        <f t="shared" si="83"/>
        <v>27439029851.080002</v>
      </c>
      <c r="DS105" s="508">
        <f t="shared" si="83"/>
        <v>27625545326.246063</v>
      </c>
      <c r="DT105" s="508">
        <f t="shared" si="83"/>
        <v>28689496432.936337</v>
      </c>
      <c r="DU105" s="508">
        <f t="shared" si="83"/>
        <v>28163745443.718647</v>
      </c>
      <c r="DV105" s="513"/>
      <c r="DW105" s="514"/>
      <c r="DX105" s="514"/>
      <c r="DY105" s="514"/>
      <c r="DZ105" s="514"/>
      <c r="EA105" s="515">
        <f>SUM(EA2:EA104)</f>
        <v>124680818940.6002</v>
      </c>
      <c r="EB105" s="610"/>
      <c r="EC105" s="603"/>
    </row>
    <row r="106" spans="1:133" ht="51" hidden="1" customHeight="1">
      <c r="S106" s="369"/>
      <c r="T106" s="518"/>
      <c r="U106" s="369"/>
      <c r="V106" s="369"/>
      <c r="W106" s="369"/>
      <c r="X106" s="369"/>
      <c r="Y106" s="369"/>
      <c r="Z106" s="369"/>
      <c r="AA106" s="369"/>
      <c r="AB106" s="369"/>
      <c r="AC106" s="369"/>
      <c r="AD106" s="369"/>
      <c r="AE106" s="369"/>
      <c r="AF106" s="369"/>
      <c r="AG106" s="369"/>
      <c r="AH106" s="369"/>
      <c r="AI106" s="519"/>
      <c r="AJ106" s="261"/>
      <c r="AK106" s="261"/>
      <c r="AL106" s="261"/>
      <c r="AM106" s="261"/>
      <c r="AN106" s="261"/>
      <c r="AO106" s="261"/>
      <c r="AP106" s="520"/>
      <c r="AQ106" s="521"/>
      <c r="AR106" s="520"/>
      <c r="AS106" s="520"/>
      <c r="AT106" s="520"/>
      <c r="AU106" s="520"/>
      <c r="AV106" s="522"/>
      <c r="AW106" s="522"/>
      <c r="AX106" s="523"/>
      <c r="AY106" s="523"/>
      <c r="AZ106" s="524"/>
      <c r="BA106" s="523"/>
      <c r="BB106" s="523"/>
      <c r="BC106" s="523"/>
      <c r="BD106" s="523"/>
      <c r="BE106" s="525"/>
      <c r="BF106" s="526"/>
      <c r="BG106" s="527"/>
      <c r="BH106" s="528"/>
      <c r="BI106" s="528"/>
      <c r="BJ106" s="528"/>
      <c r="BK106" s="528"/>
      <c r="BL106" s="427"/>
      <c r="BM106" s="427"/>
      <c r="BN106" s="427"/>
      <c r="BO106" s="427"/>
      <c r="BP106" s="427"/>
      <c r="BQ106" s="427"/>
      <c r="BR106" s="427"/>
      <c r="BS106" s="427"/>
      <c r="BT106" s="427"/>
      <c r="BU106" s="427"/>
      <c r="BV106" s="427"/>
      <c r="BW106" s="427"/>
      <c r="BX106" s="427"/>
      <c r="BY106" s="427"/>
      <c r="BZ106" s="427"/>
      <c r="CA106" s="427"/>
      <c r="CB106" s="427"/>
      <c r="CC106" s="427"/>
      <c r="CD106" s="427"/>
      <c r="CE106" s="427"/>
      <c r="CF106" s="427"/>
      <c r="CG106" s="427"/>
      <c r="CH106" s="427"/>
      <c r="CI106" s="427"/>
      <c r="CJ106" s="427"/>
      <c r="CK106" s="427"/>
      <c r="CL106" s="427"/>
      <c r="CM106" s="529">
        <v>28264974391.169998</v>
      </c>
      <c r="CN106" s="530">
        <v>27439029851.079998</v>
      </c>
      <c r="CO106" s="427"/>
      <c r="CP106" s="427"/>
      <c r="CQ106" s="427"/>
      <c r="CR106" s="427"/>
      <c r="CS106" s="531"/>
      <c r="CT106" s="531"/>
      <c r="CU106" s="532"/>
      <c r="CV106" s="532"/>
      <c r="CW106" s="532"/>
      <c r="CX106" s="532"/>
      <c r="CY106" s="532"/>
      <c r="CZ106" s="532"/>
      <c r="DA106" s="532"/>
      <c r="DB106" s="532"/>
      <c r="DC106" s="532"/>
      <c r="DD106" s="532"/>
      <c r="DE106" s="532"/>
      <c r="DF106" s="532"/>
      <c r="DG106" s="532"/>
      <c r="DH106" s="533">
        <v>103303583950.18001</v>
      </c>
      <c r="DI106" s="533">
        <v>102637434328.62001</v>
      </c>
      <c r="DJ106" s="532"/>
      <c r="DK106" s="531"/>
      <c r="DL106" s="531"/>
      <c r="DM106" s="531">
        <v>28264974391.169998</v>
      </c>
      <c r="DN106" s="531">
        <f>DM105+DN105</f>
        <v>57642395433.518997</v>
      </c>
      <c r="DO106" s="531"/>
      <c r="DP106" s="531"/>
      <c r="DQ106" s="531"/>
      <c r="DR106" s="531">
        <v>27439029851.079998</v>
      </c>
      <c r="DS106" s="531">
        <f>DR105+DS105</f>
        <v>55064575177.326065</v>
      </c>
      <c r="DT106" s="531"/>
      <c r="DU106" s="531"/>
      <c r="DV106" s="285" t="s">
        <v>1021</v>
      </c>
      <c r="DW106" s="381"/>
      <c r="DX106" s="381"/>
      <c r="DY106" s="381"/>
      <c r="DZ106" s="381">
        <v>191351016.34999999</v>
      </c>
      <c r="EA106" s="382">
        <v>132454025535.83</v>
      </c>
      <c r="EB106" s="611"/>
    </row>
    <row r="107" spans="1:133" ht="65.25" hidden="1" customHeight="1">
      <c r="S107" s="369"/>
      <c r="T107" s="518"/>
      <c r="U107" s="369"/>
      <c r="V107" s="369"/>
      <c r="W107" s="369"/>
      <c r="X107" s="369"/>
      <c r="Y107" s="369"/>
      <c r="Z107" s="369"/>
      <c r="AA107" s="369"/>
      <c r="AB107" s="369"/>
      <c r="AC107" s="369"/>
      <c r="AD107" s="369"/>
      <c r="AE107" s="369"/>
      <c r="AF107" s="369"/>
      <c r="AG107" s="369"/>
      <c r="AH107" s="369"/>
      <c r="AI107" s="519"/>
      <c r="AJ107" s="261"/>
      <c r="AK107" s="261"/>
      <c r="AL107" s="261"/>
      <c r="AM107" s="261"/>
      <c r="AN107" s="261"/>
      <c r="AO107" s="261"/>
      <c r="AP107" s="520"/>
      <c r="AQ107" s="521"/>
      <c r="AR107" s="520"/>
      <c r="AS107" s="520"/>
      <c r="AT107" s="520"/>
      <c r="AU107" s="520"/>
      <c r="AV107" s="522"/>
      <c r="AW107" s="522"/>
      <c r="AX107" s="523"/>
      <c r="AY107" s="523"/>
      <c r="AZ107" s="524"/>
      <c r="BA107" s="523"/>
      <c r="BB107" s="523"/>
      <c r="BC107" s="523"/>
      <c r="BD107" s="523"/>
      <c r="BE107" s="534"/>
      <c r="BF107" s="526"/>
      <c r="BG107" s="527"/>
      <c r="BH107" s="528"/>
      <c r="BI107" s="528"/>
      <c r="BJ107" s="528"/>
      <c r="BK107" s="528"/>
      <c r="BL107" s="427"/>
      <c r="BM107" s="427"/>
      <c r="BN107" s="427"/>
      <c r="BO107" s="427"/>
      <c r="BP107" s="427"/>
      <c r="BQ107" s="427"/>
      <c r="BR107" s="427"/>
      <c r="BS107" s="427"/>
      <c r="BT107" s="427"/>
      <c r="BU107" s="427"/>
      <c r="BV107" s="427"/>
      <c r="BW107" s="427"/>
      <c r="BX107" s="427"/>
      <c r="BY107" s="427"/>
      <c r="BZ107" s="427"/>
      <c r="CA107" s="427"/>
      <c r="CB107" s="427"/>
      <c r="CC107" s="427"/>
      <c r="CD107" s="427"/>
      <c r="CE107" s="427"/>
      <c r="CF107" s="427"/>
      <c r="CG107" s="427"/>
      <c r="CH107" s="427"/>
      <c r="CI107" s="427"/>
      <c r="CJ107" s="427"/>
      <c r="CK107" s="427"/>
      <c r="CL107" s="427"/>
      <c r="CM107" s="535"/>
      <c r="CN107" s="535">
        <f>+CN105-CN106</f>
        <v>0</v>
      </c>
      <c r="CO107" s="427"/>
      <c r="CP107" s="535"/>
      <c r="CQ107" s="427"/>
      <c r="CR107" s="427"/>
      <c r="CS107" s="531"/>
      <c r="CT107" s="532"/>
      <c r="CU107" s="532"/>
      <c r="CV107" s="532"/>
      <c r="CW107" s="532"/>
      <c r="CX107" s="532"/>
      <c r="CY107" s="532"/>
      <c r="CZ107" s="532"/>
      <c r="DA107" s="532"/>
      <c r="DB107" s="532"/>
      <c r="DC107" s="532"/>
      <c r="DD107" s="532"/>
      <c r="DE107" s="532"/>
      <c r="DF107" s="532"/>
      <c r="DG107" s="532"/>
      <c r="DH107" s="531">
        <f>+DH105-DH106</f>
        <v>9049692750.0490112</v>
      </c>
      <c r="DI107" s="531">
        <f>+DI105-DI106</f>
        <v>9280382725.3610077</v>
      </c>
      <c r="DJ107" s="532"/>
      <c r="DK107" s="531"/>
      <c r="DL107" s="531"/>
      <c r="DM107" s="531"/>
      <c r="DN107" s="531">
        <v>57642395433.520004</v>
      </c>
      <c r="DO107" s="531"/>
      <c r="DP107" s="531"/>
      <c r="DQ107" s="531"/>
      <c r="DR107" s="531"/>
      <c r="DS107" s="531">
        <v>55064575177.330002</v>
      </c>
      <c r="DT107" s="531"/>
      <c r="DU107" s="531"/>
      <c r="DV107" s="285"/>
      <c r="DW107" s="381"/>
      <c r="DX107" s="381"/>
      <c r="DY107" s="381"/>
      <c r="DZ107" s="381">
        <f>DZ83-DZ106</f>
        <v>-180911016.34999999</v>
      </c>
      <c r="EA107" s="382">
        <f>EA105-EA106</f>
        <v>-7773206595.2297974</v>
      </c>
      <c r="EB107" s="611"/>
    </row>
    <row r="108" spans="1:133" ht="58.5" customHeight="1">
      <c r="BB108" s="542"/>
      <c r="BC108" s="542"/>
      <c r="BD108" s="542"/>
      <c r="BE108" s="543"/>
      <c r="BF108" s="544"/>
      <c r="BG108" s="545"/>
      <c r="BH108" s="546"/>
      <c r="BI108" s="546"/>
      <c r="BJ108" s="546"/>
      <c r="BK108" s="546"/>
      <c r="BL108" s="547"/>
      <c r="BM108" s="548"/>
      <c r="BN108" s="548"/>
      <c r="BO108" s="548"/>
      <c r="BP108" s="548"/>
      <c r="BQ108" s="548"/>
      <c r="BR108" s="548"/>
      <c r="BS108" s="548"/>
      <c r="BT108" s="548"/>
      <c r="BU108" s="548"/>
      <c r="BV108" s="548"/>
      <c r="BW108" s="548"/>
      <c r="BX108" s="548"/>
      <c r="BY108" s="548"/>
      <c r="BZ108" s="548"/>
      <c r="CA108" s="548"/>
      <c r="CB108" s="548"/>
      <c r="CC108" s="548"/>
      <c r="CD108" s="548"/>
      <c r="CE108" s="548"/>
      <c r="CF108" s="548"/>
      <c r="CG108" s="548"/>
      <c r="CH108" s="548"/>
      <c r="CI108" s="548"/>
      <c r="CJ108" s="548"/>
      <c r="CK108" s="548"/>
      <c r="CL108" s="548"/>
      <c r="CM108" s="549"/>
      <c r="CN108" s="550"/>
      <c r="CO108" s="548"/>
      <c r="CP108" s="550"/>
      <c r="CQ108" s="548"/>
      <c r="CR108" s="548"/>
      <c r="CS108" s="551"/>
      <c r="CT108" s="551"/>
      <c r="CU108" s="551"/>
      <c r="CV108" s="551"/>
      <c r="CW108" s="551"/>
      <c r="CX108" s="551"/>
      <c r="CY108" s="551"/>
      <c r="CZ108" s="551"/>
      <c r="DA108" s="551"/>
      <c r="DB108" s="551"/>
      <c r="DC108" s="551"/>
      <c r="DD108" s="551"/>
      <c r="DE108" s="551"/>
      <c r="DF108" s="551"/>
      <c r="DG108" s="551"/>
      <c r="DH108" s="551"/>
      <c r="DI108" s="551"/>
      <c r="DJ108" s="551"/>
      <c r="DK108" s="551"/>
      <c r="DL108" s="551"/>
      <c r="DM108" s="551"/>
      <c r="DN108" s="552">
        <f>DN106-DN107</f>
        <v>-1.007080078125E-3</v>
      </c>
      <c r="DO108" s="551"/>
      <c r="DP108" s="551"/>
      <c r="DQ108" s="551"/>
      <c r="DR108" s="551"/>
      <c r="DS108" s="552">
        <f>DS106-DS107</f>
        <v>-3.936767578125E-3</v>
      </c>
      <c r="DT108" s="551"/>
      <c r="DU108" s="551"/>
    </row>
    <row r="109" spans="1:133" ht="57.75" customHeight="1">
      <c r="BB109" s="542"/>
      <c r="BC109" s="542"/>
      <c r="BD109" s="542"/>
      <c r="BE109" s="553"/>
      <c r="BF109" s="542"/>
      <c r="BG109" s="545"/>
      <c r="BH109" s="546"/>
      <c r="BI109" s="546"/>
      <c r="BJ109" s="546"/>
      <c r="BK109" s="546"/>
      <c r="CW109" s="370">
        <v>2351786.6666666665</v>
      </c>
      <c r="CX109" s="370">
        <v>1411072</v>
      </c>
      <c r="CY109" s="370">
        <v>1881429.3333333333</v>
      </c>
    </row>
    <row r="110" spans="1:133" ht="100.5" customHeight="1">
      <c r="BB110" s="542"/>
      <c r="BC110" s="542"/>
      <c r="BD110" s="542"/>
      <c r="BE110" s="555"/>
      <c r="BF110" s="542"/>
      <c r="BG110" s="545"/>
      <c r="BH110" s="546"/>
      <c r="BI110" s="546"/>
      <c r="BJ110" s="546"/>
      <c r="BK110" s="546"/>
    </row>
    <row r="111" spans="1:133" ht="86.25" customHeight="1">
      <c r="BE111" s="556"/>
    </row>
  </sheetData>
  <autoFilter ref="A1:EB109">
    <filterColumn colId="130">
      <filters blank="1">
        <filter val="0,00"/>
      </filters>
    </filterColumn>
  </autoFilter>
  <mergeCells count="8">
    <mergeCell ref="X26:X29"/>
    <mergeCell ref="AH26:AH29"/>
    <mergeCell ref="X6:X7"/>
    <mergeCell ref="Y6:Y7"/>
    <mergeCell ref="AH15:AH18"/>
    <mergeCell ref="AH19:AH20"/>
    <mergeCell ref="X21:X25"/>
    <mergeCell ref="AH21:AH25"/>
  </mergeCells>
  <dataValidations count="1">
    <dataValidation type="list" allowBlank="1" showInputMessage="1" showErrorMessage="1" sqref="AQ105 AQ2:AQ103">
      <formula1>"Número,Porcentaje"</formula1>
    </dataValidation>
  </dataValidation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43"/>
  <sheetViews>
    <sheetView workbookViewId="0">
      <selection activeCell="Z9" sqref="Z9"/>
    </sheetView>
  </sheetViews>
  <sheetFormatPr baseColWidth="10" defaultRowHeight="15"/>
  <cols>
    <col min="1" max="1" width="5.5703125" style="117" customWidth="1"/>
    <col min="2" max="2" width="24.42578125" style="117" customWidth="1"/>
    <col min="3" max="3" width="11.140625" style="117" customWidth="1"/>
    <col min="4" max="4" width="28.42578125" style="117" customWidth="1"/>
    <col min="5" max="5" width="7.5703125" style="117" bestFit="1" customWidth="1"/>
    <col min="6" max="6" width="29.140625" style="117" customWidth="1"/>
    <col min="7" max="7" width="27.42578125" style="117" customWidth="1"/>
    <col min="8" max="8" width="5.5703125" style="117" customWidth="1"/>
    <col min="9" max="9" width="26.85546875" style="117" customWidth="1"/>
    <col min="10" max="10" width="5.5703125" style="117" customWidth="1"/>
    <col min="11" max="11" width="37.42578125" style="117" customWidth="1"/>
    <col min="12" max="12" width="15" style="117" bestFit="1" customWidth="1"/>
    <col min="13" max="16384" width="11.42578125" style="117"/>
  </cols>
  <sheetData>
    <row r="1" spans="1:14" ht="18">
      <c r="A1" s="565" t="s">
        <v>1022</v>
      </c>
      <c r="B1" s="565" t="s">
        <v>1023</v>
      </c>
      <c r="C1" s="565" t="s">
        <v>1024</v>
      </c>
      <c r="D1" s="565" t="s">
        <v>1025</v>
      </c>
      <c r="E1" s="565" t="s">
        <v>1026</v>
      </c>
      <c r="F1" s="565" t="s">
        <v>1027</v>
      </c>
      <c r="G1" s="565" t="s">
        <v>1028</v>
      </c>
      <c r="H1" s="565" t="s">
        <v>1029</v>
      </c>
      <c r="I1" s="565" t="s">
        <v>1030</v>
      </c>
      <c r="J1" s="565" t="s">
        <v>1031</v>
      </c>
      <c r="K1" s="565" t="s">
        <v>1032</v>
      </c>
      <c r="L1" s="564" t="s">
        <v>1033</v>
      </c>
    </row>
    <row r="2" spans="1:14" customFormat="1" ht="18" hidden="1">
      <c r="A2" s="559" t="s">
        <v>1034</v>
      </c>
      <c r="B2" s="559" t="s">
        <v>11</v>
      </c>
      <c r="C2" s="559" t="s">
        <v>1035</v>
      </c>
      <c r="D2" s="559" t="s">
        <v>1036</v>
      </c>
      <c r="E2" s="559" t="s">
        <v>25</v>
      </c>
      <c r="F2" s="559" t="s">
        <v>1037</v>
      </c>
      <c r="G2" s="559" t="s">
        <v>1038</v>
      </c>
      <c r="H2" s="559" t="s">
        <v>1039</v>
      </c>
      <c r="I2" s="559" t="s">
        <v>1040</v>
      </c>
      <c r="J2" s="559" t="s">
        <v>1041</v>
      </c>
      <c r="K2" s="559" t="s">
        <v>24</v>
      </c>
      <c r="L2" s="570">
        <v>300000000</v>
      </c>
      <c r="M2" s="559" t="s">
        <v>1179</v>
      </c>
      <c r="N2" s="559" t="s">
        <v>1180</v>
      </c>
    </row>
    <row r="3" spans="1:14" customFormat="1" ht="18" hidden="1">
      <c r="A3" s="561" t="s">
        <v>1034</v>
      </c>
      <c r="B3" s="561" t="s">
        <v>11</v>
      </c>
      <c r="C3" s="561" t="s">
        <v>1035</v>
      </c>
      <c r="D3" s="561" t="s">
        <v>1036</v>
      </c>
      <c r="E3" s="561" t="s">
        <v>25</v>
      </c>
      <c r="F3" s="561" t="s">
        <v>1037</v>
      </c>
      <c r="G3" s="561" t="s">
        <v>1042</v>
      </c>
      <c r="H3" s="561" t="s">
        <v>1043</v>
      </c>
      <c r="I3" s="561" t="s">
        <v>1044</v>
      </c>
      <c r="J3" s="561" t="s">
        <v>1045</v>
      </c>
      <c r="K3" s="561" t="s">
        <v>24</v>
      </c>
      <c r="L3" s="570">
        <v>200000000</v>
      </c>
      <c r="M3" s="561" t="s">
        <v>1176</v>
      </c>
      <c r="N3" s="559" t="s">
        <v>1180</v>
      </c>
    </row>
    <row r="4" spans="1:14" ht="18" hidden="1">
      <c r="A4" s="566" t="s">
        <v>1034</v>
      </c>
      <c r="B4" s="566" t="s">
        <v>11</v>
      </c>
      <c r="C4" s="566" t="s">
        <v>1035</v>
      </c>
      <c r="D4" s="566" t="s">
        <v>1036</v>
      </c>
      <c r="E4" s="566" t="s">
        <v>25</v>
      </c>
      <c r="F4" s="566" t="s">
        <v>1037</v>
      </c>
      <c r="G4" s="566" t="s">
        <v>1046</v>
      </c>
      <c r="H4" s="566" t="s">
        <v>1047</v>
      </c>
      <c r="I4" s="566" t="s">
        <v>1048</v>
      </c>
      <c r="J4" s="566" t="s">
        <v>1049</v>
      </c>
      <c r="K4" s="566" t="s">
        <v>24</v>
      </c>
      <c r="L4" s="623">
        <v>46216000</v>
      </c>
      <c r="M4" s="566" t="s">
        <v>1176</v>
      </c>
    </row>
    <row r="5" spans="1:14" ht="18" hidden="1">
      <c r="A5" s="566" t="s">
        <v>1034</v>
      </c>
      <c r="B5" s="566" t="s">
        <v>11</v>
      </c>
      <c r="C5" s="566" t="s">
        <v>1035</v>
      </c>
      <c r="D5" s="566" t="s">
        <v>1036</v>
      </c>
      <c r="E5" s="566" t="s">
        <v>25</v>
      </c>
      <c r="F5" s="566" t="s">
        <v>1037</v>
      </c>
      <c r="G5" s="566" t="s">
        <v>1050</v>
      </c>
      <c r="H5" s="566" t="s">
        <v>1047</v>
      </c>
      <c r="I5" s="566" t="s">
        <v>1048</v>
      </c>
      <c r="J5" s="566" t="s">
        <v>1051</v>
      </c>
      <c r="K5" s="566" t="s">
        <v>24</v>
      </c>
      <c r="L5" s="623">
        <v>213456880</v>
      </c>
      <c r="M5" s="566" t="s">
        <v>1177</v>
      </c>
    </row>
    <row r="6" spans="1:14" ht="18" hidden="1">
      <c r="A6" s="566" t="s">
        <v>1034</v>
      </c>
      <c r="B6" s="566" t="s">
        <v>11</v>
      </c>
      <c r="C6" s="566" t="s">
        <v>1035</v>
      </c>
      <c r="D6" s="566" t="s">
        <v>1036</v>
      </c>
      <c r="E6" s="566" t="s">
        <v>25</v>
      </c>
      <c r="F6" s="566" t="s">
        <v>1037</v>
      </c>
      <c r="G6" s="566" t="s">
        <v>1052</v>
      </c>
      <c r="H6" s="566" t="s">
        <v>1047</v>
      </c>
      <c r="I6" s="566" t="s">
        <v>1048</v>
      </c>
      <c r="J6" s="566" t="s">
        <v>1053</v>
      </c>
      <c r="K6" s="566" t="s">
        <v>24</v>
      </c>
      <c r="L6" s="623">
        <v>46652000</v>
      </c>
      <c r="M6" s="566" t="s">
        <v>1177</v>
      </c>
    </row>
    <row r="7" spans="1:14" customFormat="1" hidden="1">
      <c r="A7" s="561" t="s">
        <v>1034</v>
      </c>
      <c r="B7" s="561" t="s">
        <v>11</v>
      </c>
      <c r="C7" s="561" t="s">
        <v>1035</v>
      </c>
      <c r="D7" s="561" t="s">
        <v>1036</v>
      </c>
      <c r="E7" s="561" t="s">
        <v>1054</v>
      </c>
      <c r="F7" s="561" t="s">
        <v>1055</v>
      </c>
      <c r="G7" s="561" t="s">
        <v>1056</v>
      </c>
      <c r="H7" s="561" t="s">
        <v>1039</v>
      </c>
      <c r="I7" s="561" t="s">
        <v>1040</v>
      </c>
      <c r="J7" s="561" t="s">
        <v>1057</v>
      </c>
      <c r="K7" s="561" t="s">
        <v>29</v>
      </c>
      <c r="L7" s="570">
        <v>30000000</v>
      </c>
      <c r="M7" s="561" t="s">
        <v>1176</v>
      </c>
    </row>
    <row r="8" spans="1:14" hidden="1">
      <c r="A8" s="566" t="s">
        <v>1034</v>
      </c>
      <c r="B8" s="566" t="s">
        <v>11</v>
      </c>
      <c r="C8" s="566" t="s">
        <v>1035</v>
      </c>
      <c r="D8" s="566" t="s">
        <v>1036</v>
      </c>
      <c r="E8" s="566" t="s">
        <v>1054</v>
      </c>
      <c r="F8" s="566" t="s">
        <v>1055</v>
      </c>
      <c r="G8" s="566" t="s">
        <v>1058</v>
      </c>
      <c r="H8" s="566" t="s">
        <v>1047</v>
      </c>
      <c r="I8" s="566" t="s">
        <v>1048</v>
      </c>
      <c r="J8" s="566" t="s">
        <v>1059</v>
      </c>
      <c r="K8" s="566" t="s">
        <v>29</v>
      </c>
      <c r="L8" s="623">
        <v>179031189.81999999</v>
      </c>
      <c r="M8" s="566" t="s">
        <v>1177</v>
      </c>
    </row>
    <row r="9" spans="1:14" customFormat="1">
      <c r="A9" s="561" t="s">
        <v>1034</v>
      </c>
      <c r="B9" s="561" t="s">
        <v>11</v>
      </c>
      <c r="C9" s="561" t="s">
        <v>1035</v>
      </c>
      <c r="D9" s="561" t="s">
        <v>1036</v>
      </c>
      <c r="E9" s="561" t="s">
        <v>1054</v>
      </c>
      <c r="F9" s="561" t="s">
        <v>1055</v>
      </c>
      <c r="G9" s="561" t="s">
        <v>1060</v>
      </c>
      <c r="H9" s="561" t="s">
        <v>1061</v>
      </c>
      <c r="I9" s="561" t="s">
        <v>709</v>
      </c>
      <c r="J9" s="561" t="s">
        <v>1062</v>
      </c>
      <c r="K9" s="561" t="s">
        <v>29</v>
      </c>
      <c r="L9" s="569">
        <v>135964611.84</v>
      </c>
      <c r="M9" s="561" t="s">
        <v>1177</v>
      </c>
    </row>
    <row r="10" spans="1:14" ht="18" hidden="1">
      <c r="A10" s="566" t="s">
        <v>1034</v>
      </c>
      <c r="B10" s="566" t="s">
        <v>11</v>
      </c>
      <c r="C10" s="566" t="s">
        <v>1035</v>
      </c>
      <c r="D10" s="566" t="s">
        <v>1036</v>
      </c>
      <c r="E10" s="566" t="s">
        <v>1063</v>
      </c>
      <c r="F10" s="566" t="s">
        <v>1064</v>
      </c>
      <c r="G10" s="566" t="s">
        <v>1065</v>
      </c>
      <c r="H10" s="566" t="s">
        <v>1047</v>
      </c>
      <c r="I10" s="566" t="s">
        <v>1048</v>
      </c>
      <c r="J10" s="566" t="s">
        <v>1066</v>
      </c>
      <c r="K10" s="566" t="s">
        <v>27</v>
      </c>
      <c r="L10" s="623">
        <v>38150000</v>
      </c>
      <c r="M10" s="566" t="s">
        <v>1177</v>
      </c>
    </row>
    <row r="11" spans="1:14" customFormat="1" ht="18">
      <c r="A11" s="561" t="s">
        <v>1034</v>
      </c>
      <c r="B11" s="561" t="s">
        <v>11</v>
      </c>
      <c r="C11" s="561" t="s">
        <v>1035</v>
      </c>
      <c r="D11" s="561" t="s">
        <v>1036</v>
      </c>
      <c r="E11" s="561" t="s">
        <v>1063</v>
      </c>
      <c r="F11" s="561" t="s">
        <v>1064</v>
      </c>
      <c r="G11" s="561" t="s">
        <v>1067</v>
      </c>
      <c r="H11" s="561" t="s">
        <v>1061</v>
      </c>
      <c r="I11" s="561" t="s">
        <v>709</v>
      </c>
      <c r="J11" s="561" t="s">
        <v>1068</v>
      </c>
      <c r="K11" s="561" t="s">
        <v>27</v>
      </c>
      <c r="L11" s="569">
        <v>46216000</v>
      </c>
      <c r="M11" s="561" t="s">
        <v>1176</v>
      </c>
    </row>
    <row r="12" spans="1:14" customFormat="1">
      <c r="A12" s="559" t="s">
        <v>1034</v>
      </c>
      <c r="B12" s="559" t="s">
        <v>11</v>
      </c>
      <c r="C12" s="559" t="s">
        <v>1035</v>
      </c>
      <c r="D12" s="559" t="s">
        <v>1036</v>
      </c>
      <c r="E12" s="559" t="s">
        <v>1069</v>
      </c>
      <c r="F12" s="559" t="s">
        <v>1070</v>
      </c>
      <c r="G12" s="559" t="s">
        <v>1071</v>
      </c>
      <c r="H12" s="559" t="s">
        <v>1061</v>
      </c>
      <c r="I12" s="559" t="s">
        <v>709</v>
      </c>
      <c r="J12" s="559" t="s">
        <v>1072</v>
      </c>
      <c r="K12" s="559" t="s">
        <v>8</v>
      </c>
      <c r="L12" s="569">
        <v>61421500</v>
      </c>
      <c r="M12" s="559" t="s">
        <v>1177</v>
      </c>
    </row>
    <row r="13" spans="1:14" customFormat="1" ht="18">
      <c r="A13" s="561" t="s">
        <v>1034</v>
      </c>
      <c r="B13" s="561" t="s">
        <v>11</v>
      </c>
      <c r="C13" s="561" t="s">
        <v>1035</v>
      </c>
      <c r="D13" s="561" t="s">
        <v>1036</v>
      </c>
      <c r="E13" s="561" t="s">
        <v>1073</v>
      </c>
      <c r="F13" s="561" t="s">
        <v>1074</v>
      </c>
      <c r="G13" s="561" t="s">
        <v>1075</v>
      </c>
      <c r="H13" s="561" t="s">
        <v>1061</v>
      </c>
      <c r="I13" s="561" t="s">
        <v>709</v>
      </c>
      <c r="J13" s="561" t="s">
        <v>1076</v>
      </c>
      <c r="K13" s="561" t="s">
        <v>87</v>
      </c>
      <c r="L13" s="569">
        <v>116630000</v>
      </c>
      <c r="M13" s="561" t="s">
        <v>1177</v>
      </c>
    </row>
    <row r="14" spans="1:14" customFormat="1" ht="18" hidden="1">
      <c r="A14" s="559" t="s">
        <v>1034</v>
      </c>
      <c r="B14" s="559" t="s">
        <v>11</v>
      </c>
      <c r="C14" s="559" t="s">
        <v>1077</v>
      </c>
      <c r="D14" s="559" t="s">
        <v>1078</v>
      </c>
      <c r="E14" s="559" t="s">
        <v>1079</v>
      </c>
      <c r="F14" s="559" t="s">
        <v>55</v>
      </c>
      <c r="G14" s="559" t="s">
        <v>1080</v>
      </c>
      <c r="H14" s="559" t="s">
        <v>1039</v>
      </c>
      <c r="I14" s="559" t="s">
        <v>1040</v>
      </c>
      <c r="J14" s="559" t="s">
        <v>1081</v>
      </c>
      <c r="K14" s="559" t="s">
        <v>55</v>
      </c>
      <c r="L14" s="570">
        <v>330400000</v>
      </c>
      <c r="M14" s="559" t="s">
        <v>1176</v>
      </c>
    </row>
    <row r="15" spans="1:14" ht="18" hidden="1">
      <c r="A15" s="566" t="s">
        <v>1034</v>
      </c>
      <c r="B15" s="566" t="s">
        <v>11</v>
      </c>
      <c r="C15" s="566" t="s">
        <v>1077</v>
      </c>
      <c r="D15" s="566" t="s">
        <v>1078</v>
      </c>
      <c r="E15" s="566" t="s">
        <v>1082</v>
      </c>
      <c r="F15" s="566" t="s">
        <v>1083</v>
      </c>
      <c r="G15" s="566" t="s">
        <v>1084</v>
      </c>
      <c r="H15" s="566" t="s">
        <v>1047</v>
      </c>
      <c r="I15" s="566" t="s">
        <v>1048</v>
      </c>
      <c r="J15" s="566" t="s">
        <v>1085</v>
      </c>
      <c r="K15" s="566" t="s">
        <v>1086</v>
      </c>
      <c r="L15" s="623">
        <v>117845786</v>
      </c>
      <c r="M15" s="566" t="s">
        <v>1177</v>
      </c>
    </row>
    <row r="16" spans="1:14" ht="18" hidden="1">
      <c r="A16" s="566" t="s">
        <v>1034</v>
      </c>
      <c r="B16" s="566" t="s">
        <v>11</v>
      </c>
      <c r="C16" s="566" t="s">
        <v>1077</v>
      </c>
      <c r="D16" s="566" t="s">
        <v>1078</v>
      </c>
      <c r="E16" s="566" t="s">
        <v>1087</v>
      </c>
      <c r="F16" s="566" t="s">
        <v>1088</v>
      </c>
      <c r="G16" s="566" t="s">
        <v>1089</v>
      </c>
      <c r="H16" s="566" t="s">
        <v>1047</v>
      </c>
      <c r="I16" s="566" t="s">
        <v>1048</v>
      </c>
      <c r="J16" s="566" t="s">
        <v>1090</v>
      </c>
      <c r="K16" s="566" t="s">
        <v>44</v>
      </c>
      <c r="L16" s="623">
        <v>122138576.55</v>
      </c>
      <c r="M16" s="566" t="s">
        <v>1177</v>
      </c>
    </row>
    <row r="17" spans="1:13" ht="18" hidden="1">
      <c r="A17" s="566" t="s">
        <v>1034</v>
      </c>
      <c r="B17" s="566" t="s">
        <v>11</v>
      </c>
      <c r="C17" s="566" t="s">
        <v>1077</v>
      </c>
      <c r="D17" s="566" t="s">
        <v>1078</v>
      </c>
      <c r="E17" s="566" t="s">
        <v>1087</v>
      </c>
      <c r="F17" s="566" t="s">
        <v>1088</v>
      </c>
      <c r="G17" s="566" t="s">
        <v>1091</v>
      </c>
      <c r="H17" s="566" t="s">
        <v>1047</v>
      </c>
      <c r="I17" s="566" t="s">
        <v>1048</v>
      </c>
      <c r="J17" s="566" t="s">
        <v>1092</v>
      </c>
      <c r="K17" s="566" t="s">
        <v>44</v>
      </c>
      <c r="L17" s="623">
        <v>11154961.810000001</v>
      </c>
      <c r="M17" s="566" t="s">
        <v>1177</v>
      </c>
    </row>
    <row r="18" spans="1:13" ht="18" hidden="1">
      <c r="A18" s="566" t="s">
        <v>1034</v>
      </c>
      <c r="B18" s="566" t="s">
        <v>11</v>
      </c>
      <c r="C18" s="566" t="s">
        <v>1077</v>
      </c>
      <c r="D18" s="566" t="s">
        <v>1078</v>
      </c>
      <c r="E18" s="566" t="s">
        <v>1087</v>
      </c>
      <c r="F18" s="566" t="s">
        <v>1088</v>
      </c>
      <c r="G18" s="566" t="s">
        <v>1093</v>
      </c>
      <c r="H18" s="566" t="s">
        <v>1047</v>
      </c>
      <c r="I18" s="566" t="s">
        <v>1048</v>
      </c>
      <c r="J18" s="566" t="s">
        <v>1094</v>
      </c>
      <c r="K18" s="566" t="s">
        <v>44</v>
      </c>
      <c r="L18" s="623">
        <v>8891958.4000000004</v>
      </c>
    </row>
    <row r="19" spans="1:13" ht="18" hidden="1">
      <c r="A19" s="566" t="s">
        <v>1034</v>
      </c>
      <c r="B19" s="566" t="s">
        <v>11</v>
      </c>
      <c r="C19" s="566" t="s">
        <v>1077</v>
      </c>
      <c r="D19" s="566" t="s">
        <v>1078</v>
      </c>
      <c r="E19" s="566" t="s">
        <v>1095</v>
      </c>
      <c r="F19" s="566" t="s">
        <v>1096</v>
      </c>
      <c r="G19" s="566" t="s">
        <v>1097</v>
      </c>
      <c r="H19" s="566" t="s">
        <v>1047</v>
      </c>
      <c r="I19" s="566" t="s">
        <v>1048</v>
      </c>
      <c r="J19" s="566" t="s">
        <v>1098</v>
      </c>
      <c r="K19" s="566" t="s">
        <v>36</v>
      </c>
      <c r="L19" s="623">
        <v>70798290.400000006</v>
      </c>
      <c r="M19" s="566" t="s">
        <v>1177</v>
      </c>
    </row>
    <row r="20" spans="1:13" ht="18" hidden="1">
      <c r="A20" s="566" t="s">
        <v>1034</v>
      </c>
      <c r="B20" s="566" t="s">
        <v>11</v>
      </c>
      <c r="C20" s="566" t="s">
        <v>1077</v>
      </c>
      <c r="D20" s="566" t="s">
        <v>1078</v>
      </c>
      <c r="E20" s="566" t="s">
        <v>1095</v>
      </c>
      <c r="F20" s="566" t="s">
        <v>1096</v>
      </c>
      <c r="G20" s="566" t="s">
        <v>1099</v>
      </c>
      <c r="H20" s="566" t="s">
        <v>1047</v>
      </c>
      <c r="I20" s="566" t="s">
        <v>1048</v>
      </c>
      <c r="J20" s="566" t="s">
        <v>1100</v>
      </c>
      <c r="K20" s="566" t="s">
        <v>36</v>
      </c>
      <c r="L20" s="623">
        <v>85434897.599999994</v>
      </c>
      <c r="M20" s="566" t="s">
        <v>1177</v>
      </c>
    </row>
    <row r="21" spans="1:13" customFormat="1" ht="27" hidden="1">
      <c r="A21" s="561" t="s">
        <v>1034</v>
      </c>
      <c r="B21" s="561" t="s">
        <v>11</v>
      </c>
      <c r="C21" s="561" t="s">
        <v>1077</v>
      </c>
      <c r="D21" s="561" t="s">
        <v>1078</v>
      </c>
      <c r="E21" s="561" t="s">
        <v>1101</v>
      </c>
      <c r="F21" s="561" t="s">
        <v>1102</v>
      </c>
      <c r="G21" s="561" t="s">
        <v>1103</v>
      </c>
      <c r="H21" s="561" t="s">
        <v>1039</v>
      </c>
      <c r="I21" s="561" t="s">
        <v>1040</v>
      </c>
      <c r="J21" s="561" t="s">
        <v>1104</v>
      </c>
      <c r="K21" s="561" t="s">
        <v>20</v>
      </c>
      <c r="L21" s="570">
        <v>60000000</v>
      </c>
      <c r="M21" s="561" t="s">
        <v>1176</v>
      </c>
    </row>
    <row r="22" spans="1:13" customFormat="1" ht="27" hidden="1">
      <c r="A22" s="559" t="s">
        <v>1034</v>
      </c>
      <c r="B22" s="559" t="s">
        <v>11</v>
      </c>
      <c r="C22" s="559" t="s">
        <v>1077</v>
      </c>
      <c r="D22" s="559" t="s">
        <v>1078</v>
      </c>
      <c r="E22" s="559" t="s">
        <v>1101</v>
      </c>
      <c r="F22" s="559" t="s">
        <v>1102</v>
      </c>
      <c r="G22" s="559" t="s">
        <v>1105</v>
      </c>
      <c r="H22" s="559" t="s">
        <v>1106</v>
      </c>
      <c r="I22" s="559" t="s">
        <v>1107</v>
      </c>
      <c r="J22" s="559" t="s">
        <v>1108</v>
      </c>
      <c r="K22" s="559" t="s">
        <v>20</v>
      </c>
      <c r="L22" s="570">
        <v>106141504.33</v>
      </c>
      <c r="M22" s="559" t="s">
        <v>1176</v>
      </c>
    </row>
    <row r="23" spans="1:13" ht="27" hidden="1">
      <c r="A23" s="566" t="s">
        <v>1034</v>
      </c>
      <c r="B23" s="566" t="s">
        <v>11</v>
      </c>
      <c r="C23" s="566" t="s">
        <v>1077</v>
      </c>
      <c r="D23" s="566" t="s">
        <v>1078</v>
      </c>
      <c r="E23" s="566" t="s">
        <v>1101</v>
      </c>
      <c r="F23" s="566" t="s">
        <v>1102</v>
      </c>
      <c r="G23" s="566" t="s">
        <v>1109</v>
      </c>
      <c r="H23" s="566" t="s">
        <v>1047</v>
      </c>
      <c r="I23" s="566" t="s">
        <v>1048</v>
      </c>
      <c r="J23" s="566" t="s">
        <v>1110</v>
      </c>
      <c r="K23" s="566" t="s">
        <v>20</v>
      </c>
      <c r="L23" s="623">
        <v>46831238.770000003</v>
      </c>
      <c r="M23" s="566" t="s">
        <v>1177</v>
      </c>
    </row>
    <row r="24" spans="1:13" ht="18" hidden="1">
      <c r="A24" s="566" t="s">
        <v>1034</v>
      </c>
      <c r="B24" s="566" t="s">
        <v>11</v>
      </c>
      <c r="C24" s="566" t="s">
        <v>1077</v>
      </c>
      <c r="D24" s="566" t="s">
        <v>1078</v>
      </c>
      <c r="E24" s="566" t="s">
        <v>1111</v>
      </c>
      <c r="F24" s="566" t="s">
        <v>1112</v>
      </c>
      <c r="G24" s="566" t="s">
        <v>1113</v>
      </c>
      <c r="H24" s="566" t="s">
        <v>1047</v>
      </c>
      <c r="I24" s="566" t="s">
        <v>1048</v>
      </c>
      <c r="J24" s="566" t="s">
        <v>1114</v>
      </c>
      <c r="K24" s="566" t="s">
        <v>50</v>
      </c>
      <c r="L24" s="623">
        <v>26461259.609999999</v>
      </c>
      <c r="M24" s="566" t="s">
        <v>1177</v>
      </c>
    </row>
    <row r="25" spans="1:13" ht="27" hidden="1">
      <c r="A25" s="566" t="s">
        <v>1034</v>
      </c>
      <c r="B25" s="566" t="s">
        <v>11</v>
      </c>
      <c r="C25" s="566" t="s">
        <v>1077</v>
      </c>
      <c r="D25" s="566" t="s">
        <v>1078</v>
      </c>
      <c r="E25" s="566" t="s">
        <v>1115</v>
      </c>
      <c r="F25" s="566" t="s">
        <v>1116</v>
      </c>
      <c r="G25" s="566" t="s">
        <v>1117</v>
      </c>
      <c r="H25" s="566" t="s">
        <v>1047</v>
      </c>
      <c r="I25" s="566" t="s">
        <v>1048</v>
      </c>
      <c r="J25" s="566" t="s">
        <v>1118</v>
      </c>
      <c r="K25" s="566" t="s">
        <v>47</v>
      </c>
      <c r="L25" s="623">
        <v>73253093.879999995</v>
      </c>
      <c r="M25" s="566" t="s">
        <v>1177</v>
      </c>
    </row>
    <row r="26" spans="1:13" ht="27" hidden="1">
      <c r="A26" s="566" t="s">
        <v>1034</v>
      </c>
      <c r="B26" s="566" t="s">
        <v>11</v>
      </c>
      <c r="C26" s="566" t="s">
        <v>1077</v>
      </c>
      <c r="D26" s="566" t="s">
        <v>1078</v>
      </c>
      <c r="E26" s="566" t="s">
        <v>1115</v>
      </c>
      <c r="F26" s="566" t="s">
        <v>1116</v>
      </c>
      <c r="G26" s="566" t="s">
        <v>1119</v>
      </c>
      <c r="H26" s="566" t="s">
        <v>1047</v>
      </c>
      <c r="I26" s="566" t="s">
        <v>1048</v>
      </c>
      <c r="J26" s="566" t="s">
        <v>1120</v>
      </c>
      <c r="K26" s="566" t="s">
        <v>47</v>
      </c>
      <c r="L26" s="623">
        <v>83774630.900000006</v>
      </c>
      <c r="M26" s="566" t="s">
        <v>1177</v>
      </c>
    </row>
    <row r="27" spans="1:13" ht="27" hidden="1">
      <c r="A27" s="566" t="s">
        <v>1034</v>
      </c>
      <c r="B27" s="566" t="s">
        <v>11</v>
      </c>
      <c r="C27" s="566" t="s">
        <v>1077</v>
      </c>
      <c r="D27" s="566" t="s">
        <v>1078</v>
      </c>
      <c r="E27" s="566" t="s">
        <v>1115</v>
      </c>
      <c r="F27" s="566" t="s">
        <v>1116</v>
      </c>
      <c r="G27" s="566" t="s">
        <v>1121</v>
      </c>
      <c r="H27" s="566" t="s">
        <v>1047</v>
      </c>
      <c r="I27" s="566" t="s">
        <v>1048</v>
      </c>
      <c r="J27" s="566" t="s">
        <v>1122</v>
      </c>
      <c r="K27" s="566" t="s">
        <v>47</v>
      </c>
      <c r="L27" s="623">
        <v>17501974.379999999</v>
      </c>
      <c r="M27" s="566" t="s">
        <v>1177</v>
      </c>
    </row>
    <row r="28" spans="1:13" ht="27" hidden="1">
      <c r="A28" s="566" t="s">
        <v>1034</v>
      </c>
      <c r="B28" s="566" t="s">
        <v>11</v>
      </c>
      <c r="C28" s="566" t="s">
        <v>1077</v>
      </c>
      <c r="D28" s="566" t="s">
        <v>1078</v>
      </c>
      <c r="E28" s="566" t="s">
        <v>1115</v>
      </c>
      <c r="F28" s="566" t="s">
        <v>1116</v>
      </c>
      <c r="G28" s="566" t="s">
        <v>1123</v>
      </c>
      <c r="H28" s="566" t="s">
        <v>1047</v>
      </c>
      <c r="I28" s="566" t="s">
        <v>1048</v>
      </c>
      <c r="J28" s="566" t="s">
        <v>1124</v>
      </c>
      <c r="K28" s="566" t="s">
        <v>47</v>
      </c>
      <c r="L28" s="623">
        <v>53549517.82</v>
      </c>
      <c r="M28" s="566" t="s">
        <v>1177</v>
      </c>
    </row>
    <row r="29" spans="1:13" customFormat="1" ht="27">
      <c r="A29" s="561" t="s">
        <v>1034</v>
      </c>
      <c r="B29" s="561" t="s">
        <v>11</v>
      </c>
      <c r="C29" s="561" t="s">
        <v>1077</v>
      </c>
      <c r="D29" s="561" t="s">
        <v>1078</v>
      </c>
      <c r="E29" s="561" t="s">
        <v>1115</v>
      </c>
      <c r="F29" s="561" t="s">
        <v>1116</v>
      </c>
      <c r="G29" s="561" t="s">
        <v>1125</v>
      </c>
      <c r="H29" s="561" t="s">
        <v>1061</v>
      </c>
      <c r="I29" s="561" t="s">
        <v>709</v>
      </c>
      <c r="J29" s="561" t="s">
        <v>1126</v>
      </c>
      <c r="K29" s="561" t="s">
        <v>47</v>
      </c>
      <c r="L29" s="569">
        <v>53549520</v>
      </c>
      <c r="M29" s="561" t="s">
        <v>1176</v>
      </c>
    </row>
    <row r="30" spans="1:13" ht="27" hidden="1">
      <c r="A30" s="566" t="s">
        <v>1034</v>
      </c>
      <c r="B30" s="566" t="s">
        <v>11</v>
      </c>
      <c r="C30" s="566" t="s">
        <v>1077</v>
      </c>
      <c r="D30" s="566" t="s">
        <v>1078</v>
      </c>
      <c r="E30" s="566" t="s">
        <v>1127</v>
      </c>
      <c r="F30" s="566" t="s">
        <v>1128</v>
      </c>
      <c r="G30" s="566" t="s">
        <v>1129</v>
      </c>
      <c r="H30" s="566" t="s">
        <v>1047</v>
      </c>
      <c r="I30" s="566" t="s">
        <v>1048</v>
      </c>
      <c r="J30" s="566" t="s">
        <v>1130</v>
      </c>
      <c r="K30" s="566" t="s">
        <v>39</v>
      </c>
      <c r="L30" s="623">
        <v>2748382.33</v>
      </c>
      <c r="M30" s="566" t="s">
        <v>1177</v>
      </c>
    </row>
    <row r="31" spans="1:13" ht="27" hidden="1">
      <c r="A31" s="566" t="s">
        <v>1034</v>
      </c>
      <c r="B31" s="566" t="s">
        <v>11</v>
      </c>
      <c r="C31" s="566" t="s">
        <v>1077</v>
      </c>
      <c r="D31" s="566" t="s">
        <v>1078</v>
      </c>
      <c r="E31" s="566" t="s">
        <v>1127</v>
      </c>
      <c r="F31" s="566" t="s">
        <v>1128</v>
      </c>
      <c r="G31" s="566" t="s">
        <v>1131</v>
      </c>
      <c r="H31" s="566" t="s">
        <v>1047</v>
      </c>
      <c r="I31" s="566" t="s">
        <v>1048</v>
      </c>
      <c r="J31" s="566" t="s">
        <v>1132</v>
      </c>
      <c r="K31" s="566" t="s">
        <v>39</v>
      </c>
      <c r="L31" s="623">
        <v>7073913.3899999997</v>
      </c>
      <c r="M31" s="566" t="s">
        <v>1177</v>
      </c>
    </row>
    <row r="32" spans="1:13" customFormat="1" ht="18">
      <c r="A32" s="559" t="s">
        <v>1034</v>
      </c>
      <c r="B32" s="559" t="s">
        <v>11</v>
      </c>
      <c r="C32" s="559" t="s">
        <v>1077</v>
      </c>
      <c r="D32" s="559" t="s">
        <v>1078</v>
      </c>
      <c r="E32" s="559" t="s">
        <v>1133</v>
      </c>
      <c r="F32" s="559" t="s">
        <v>1134</v>
      </c>
      <c r="G32" s="559" t="s">
        <v>1135</v>
      </c>
      <c r="H32" s="559" t="s">
        <v>1061</v>
      </c>
      <c r="I32" s="559" t="s">
        <v>709</v>
      </c>
      <c r="J32" s="559" t="s">
        <v>1136</v>
      </c>
      <c r="K32" s="559" t="s">
        <v>53</v>
      </c>
      <c r="L32" s="569">
        <v>12077200</v>
      </c>
      <c r="M32" s="561" t="s">
        <v>1177</v>
      </c>
    </row>
    <row r="33" spans="1:13" ht="27" hidden="1">
      <c r="A33" s="566" t="s">
        <v>1034</v>
      </c>
      <c r="B33" s="566" t="s">
        <v>11</v>
      </c>
      <c r="C33" s="566" t="s">
        <v>1077</v>
      </c>
      <c r="D33" s="566" t="s">
        <v>1078</v>
      </c>
      <c r="E33" s="566" t="s">
        <v>1137</v>
      </c>
      <c r="F33" s="566" t="s">
        <v>1138</v>
      </c>
      <c r="G33" s="566" t="s">
        <v>1139</v>
      </c>
      <c r="H33" s="566" t="s">
        <v>1047</v>
      </c>
      <c r="I33" s="566" t="s">
        <v>1048</v>
      </c>
      <c r="J33" s="566" t="s">
        <v>1140</v>
      </c>
      <c r="K33" s="566" t="s">
        <v>33</v>
      </c>
      <c r="L33" s="623">
        <v>84503645.200000003</v>
      </c>
      <c r="M33" s="566" t="s">
        <v>1177</v>
      </c>
    </row>
    <row r="34" spans="1:13" ht="27" hidden="1">
      <c r="A34" s="566" t="s">
        <v>1034</v>
      </c>
      <c r="B34" s="566" t="s">
        <v>11</v>
      </c>
      <c r="C34" s="566" t="s">
        <v>1077</v>
      </c>
      <c r="D34" s="566" t="s">
        <v>1078</v>
      </c>
      <c r="E34" s="566" t="s">
        <v>1137</v>
      </c>
      <c r="F34" s="566" t="s">
        <v>1138</v>
      </c>
      <c r="G34" s="566" t="s">
        <v>1141</v>
      </c>
      <c r="H34" s="566" t="s">
        <v>1047</v>
      </c>
      <c r="I34" s="566" t="s">
        <v>1048</v>
      </c>
      <c r="J34" s="566" t="s">
        <v>1142</v>
      </c>
      <c r="K34" s="566" t="s">
        <v>33</v>
      </c>
      <c r="L34" s="623">
        <v>35154477.700000003</v>
      </c>
      <c r="M34" s="566" t="s">
        <v>1177</v>
      </c>
    </row>
    <row r="35" spans="1:13" customFormat="1" ht="18" hidden="1">
      <c r="A35" s="561" t="s">
        <v>1034</v>
      </c>
      <c r="B35" s="561" t="s">
        <v>11</v>
      </c>
      <c r="C35" s="561" t="s">
        <v>486</v>
      </c>
      <c r="D35" s="561" t="s">
        <v>1143</v>
      </c>
      <c r="E35" s="561" t="s">
        <v>487</v>
      </c>
      <c r="F35" s="561" t="s">
        <v>1144</v>
      </c>
      <c r="G35" s="561" t="s">
        <v>1145</v>
      </c>
      <c r="H35" s="561" t="s">
        <v>1146</v>
      </c>
      <c r="I35" s="561" t="s">
        <v>691</v>
      </c>
      <c r="J35" s="561" t="s">
        <v>1147</v>
      </c>
      <c r="K35" s="561" t="s">
        <v>1148</v>
      </c>
      <c r="L35" s="569">
        <v>64693848545.529999</v>
      </c>
      <c r="M35" s="561" t="s">
        <v>1176</v>
      </c>
    </row>
    <row r="36" spans="1:13" customFormat="1" ht="18" hidden="1">
      <c r="A36" s="559" t="s">
        <v>1034</v>
      </c>
      <c r="B36" s="559" t="s">
        <v>11</v>
      </c>
      <c r="C36" s="559" t="s">
        <v>486</v>
      </c>
      <c r="D36" s="559" t="s">
        <v>1143</v>
      </c>
      <c r="E36" s="559" t="s">
        <v>487</v>
      </c>
      <c r="F36" s="559" t="s">
        <v>1144</v>
      </c>
      <c r="G36" s="559" t="s">
        <v>1149</v>
      </c>
      <c r="H36" s="559" t="s">
        <v>1150</v>
      </c>
      <c r="I36" s="559" t="s">
        <v>701</v>
      </c>
      <c r="J36" s="559" t="s">
        <v>1151</v>
      </c>
      <c r="K36" s="559" t="s">
        <v>1148</v>
      </c>
      <c r="L36" s="560">
        <v>22324284376.82</v>
      </c>
      <c r="M36" s="561" t="s">
        <v>1176</v>
      </c>
    </row>
    <row r="37" spans="1:13" customFormat="1" ht="18" hidden="1">
      <c r="A37" s="561" t="s">
        <v>1034</v>
      </c>
      <c r="B37" s="561" t="s">
        <v>11</v>
      </c>
      <c r="C37" s="561" t="s">
        <v>486</v>
      </c>
      <c r="D37" s="561" t="s">
        <v>1143</v>
      </c>
      <c r="E37" s="561" t="s">
        <v>487</v>
      </c>
      <c r="F37" s="561" t="s">
        <v>1144</v>
      </c>
      <c r="G37" s="561" t="s">
        <v>1152</v>
      </c>
      <c r="H37" s="561" t="s">
        <v>1153</v>
      </c>
      <c r="I37" s="561" t="s">
        <v>1154</v>
      </c>
      <c r="J37" s="561" t="s">
        <v>1155</v>
      </c>
      <c r="K37" s="561" t="s">
        <v>13</v>
      </c>
      <c r="L37" s="623">
        <v>32944646167.25</v>
      </c>
      <c r="M37" s="561" t="s">
        <v>1176</v>
      </c>
    </row>
    <row r="38" spans="1:13" customFormat="1" ht="18" hidden="1">
      <c r="A38" s="559" t="s">
        <v>1034</v>
      </c>
      <c r="B38" s="559" t="s">
        <v>11</v>
      </c>
      <c r="C38" s="559" t="s">
        <v>486</v>
      </c>
      <c r="D38" s="559" t="s">
        <v>1143</v>
      </c>
      <c r="E38" s="559" t="s">
        <v>487</v>
      </c>
      <c r="F38" s="559" t="s">
        <v>1144</v>
      </c>
      <c r="G38" s="559" t="s">
        <v>1156</v>
      </c>
      <c r="H38" s="559" t="s">
        <v>1157</v>
      </c>
      <c r="I38" s="559" t="s">
        <v>1158</v>
      </c>
      <c r="J38" s="559" t="s">
        <v>1159</v>
      </c>
      <c r="K38" s="559" t="s">
        <v>1148</v>
      </c>
      <c r="L38" s="569">
        <v>1432858105.4400001</v>
      </c>
      <c r="M38" s="561" t="s">
        <v>1176</v>
      </c>
    </row>
    <row r="39" spans="1:13" customFormat="1" ht="18">
      <c r="A39" s="561" t="s">
        <v>1034</v>
      </c>
      <c r="B39" s="561" t="s">
        <v>11</v>
      </c>
      <c r="C39" s="561" t="s">
        <v>486</v>
      </c>
      <c r="D39" s="561" t="s">
        <v>1143</v>
      </c>
      <c r="E39" s="561" t="s">
        <v>487</v>
      </c>
      <c r="F39" s="561" t="s">
        <v>1144</v>
      </c>
      <c r="G39" s="561" t="s">
        <v>1160</v>
      </c>
      <c r="H39" s="561" t="s">
        <v>1061</v>
      </c>
      <c r="I39" s="561" t="s">
        <v>709</v>
      </c>
      <c r="J39" s="561" t="s">
        <v>1161</v>
      </c>
      <c r="K39" s="561" t="s">
        <v>13</v>
      </c>
      <c r="L39" s="569">
        <v>30802990.16</v>
      </c>
      <c r="M39" s="561" t="s">
        <v>1176</v>
      </c>
    </row>
    <row r="40" spans="1:13" customFormat="1" ht="18">
      <c r="A40" s="559" t="s">
        <v>1034</v>
      </c>
      <c r="B40" s="559" t="s">
        <v>11</v>
      </c>
      <c r="C40" s="559" t="s">
        <v>486</v>
      </c>
      <c r="D40" s="559" t="s">
        <v>1143</v>
      </c>
      <c r="E40" s="559" t="s">
        <v>487</v>
      </c>
      <c r="F40" s="559" t="s">
        <v>1144</v>
      </c>
      <c r="G40" s="559" t="s">
        <v>1162</v>
      </c>
      <c r="H40" s="559" t="s">
        <v>1061</v>
      </c>
      <c r="I40" s="559" t="s">
        <v>709</v>
      </c>
      <c r="J40" s="559" t="s">
        <v>1163</v>
      </c>
      <c r="K40" s="559" t="s">
        <v>13</v>
      </c>
      <c r="L40" s="569">
        <v>3604848</v>
      </c>
      <c r="M40" s="559" t="s">
        <v>1177</v>
      </c>
    </row>
    <row r="41" spans="1:13" customFormat="1" ht="18" hidden="1">
      <c r="A41" s="561" t="s">
        <v>1034</v>
      </c>
      <c r="B41" s="561" t="s">
        <v>11</v>
      </c>
      <c r="C41" s="561" t="s">
        <v>486</v>
      </c>
      <c r="D41" s="561" t="s">
        <v>1143</v>
      </c>
      <c r="E41" s="561" t="s">
        <v>487</v>
      </c>
      <c r="F41" s="561" t="s">
        <v>1144</v>
      </c>
      <c r="G41" s="561" t="s">
        <v>1164</v>
      </c>
      <c r="H41" s="561" t="s">
        <v>1165</v>
      </c>
      <c r="I41" s="561" t="s">
        <v>1166</v>
      </c>
      <c r="J41" s="561" t="s">
        <v>1167</v>
      </c>
      <c r="K41" s="561" t="s">
        <v>13</v>
      </c>
      <c r="L41" s="570">
        <v>421210896.68000001</v>
      </c>
    </row>
    <row r="42" spans="1:13" customFormat="1" hidden="1">
      <c r="A42" s="562" t="s">
        <v>1168</v>
      </c>
      <c r="B42" s="562" t="s">
        <v>1168</v>
      </c>
      <c r="C42" s="562" t="s">
        <v>1168</v>
      </c>
      <c r="D42" s="562" t="s">
        <v>1168</v>
      </c>
      <c r="E42" s="562" t="s">
        <v>1168</v>
      </c>
      <c r="F42" s="562" t="s">
        <v>1168</v>
      </c>
      <c r="G42" s="562" t="s">
        <v>1168</v>
      </c>
      <c r="H42" s="562" t="s">
        <v>1168</v>
      </c>
      <c r="I42" s="562" t="s">
        <v>1168</v>
      </c>
      <c r="J42" s="562" t="s">
        <v>1168</v>
      </c>
      <c r="K42" s="562" t="s">
        <v>1169</v>
      </c>
      <c r="L42" s="563">
        <f>SUM(L2:L41)</f>
        <v>124674278940.61</v>
      </c>
    </row>
    <row r="43" spans="1:13" customFormat="1" hidden="1">
      <c r="A43" s="564" t="s">
        <v>1168</v>
      </c>
      <c r="B43" s="564" t="s">
        <v>1168</v>
      </c>
      <c r="C43" s="564" t="s">
        <v>1168</v>
      </c>
      <c r="D43" s="564" t="s">
        <v>1168</v>
      </c>
      <c r="E43" s="564" t="s">
        <v>1168</v>
      </c>
      <c r="F43" s="564" t="s">
        <v>1168</v>
      </c>
      <c r="G43" s="564" t="s">
        <v>1168</v>
      </c>
      <c r="H43" s="564" t="s">
        <v>1168</v>
      </c>
      <c r="I43" s="564" t="s">
        <v>1168</v>
      </c>
      <c r="J43" s="564" t="s">
        <v>1168</v>
      </c>
      <c r="K43" s="564" t="s">
        <v>1168</v>
      </c>
      <c r="L43" s="564" t="s">
        <v>1168</v>
      </c>
    </row>
  </sheetData>
  <autoFilter ref="A1:S43">
    <filterColumn colId="8">
      <filters>
        <filter val="COLJUEGOS CSF"/>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76"/>
  <sheetViews>
    <sheetView zoomScale="50" zoomScaleNormal="50" workbookViewId="0">
      <selection activeCell="Z9" sqref="Z9"/>
    </sheetView>
  </sheetViews>
  <sheetFormatPr baseColWidth="10" defaultRowHeight="15.75"/>
  <cols>
    <col min="1" max="1" width="7.140625" style="204" customWidth="1"/>
    <col min="2" max="2" width="16.85546875" style="217" customWidth="1"/>
    <col min="3" max="4" width="11.42578125" style="204" hidden="1" customWidth="1"/>
    <col min="5" max="5" width="21.85546875" style="218" hidden="1" customWidth="1"/>
    <col min="6" max="6" width="25.42578125" style="219" hidden="1" customWidth="1"/>
    <col min="7" max="7" width="23.42578125" hidden="1" customWidth="1"/>
    <col min="8" max="8" width="46.7109375" hidden="1" customWidth="1"/>
    <col min="9" max="9" width="43.42578125" hidden="1" customWidth="1"/>
    <col min="10" max="11" width="11.42578125" hidden="1" customWidth="1"/>
    <col min="12" max="12" width="29.140625" hidden="1" customWidth="1"/>
    <col min="13" max="13" width="35.7109375" hidden="1" customWidth="1"/>
    <col min="14" max="14" width="12.85546875" hidden="1" customWidth="1"/>
    <col min="15" max="15" width="39.7109375" style="225" hidden="1" customWidth="1"/>
    <col min="16" max="16" width="40.85546875" style="225" hidden="1" customWidth="1"/>
    <col min="17" max="17" width="19.42578125" style="225" customWidth="1"/>
    <col min="18" max="18" width="15.7109375" style="226" customWidth="1"/>
    <col min="19" max="19" width="22.28515625" style="225" customWidth="1"/>
    <col min="20" max="20" width="15.42578125" style="227" customWidth="1"/>
    <col min="21" max="21" width="19.28515625" style="228" customWidth="1"/>
    <col min="22" max="22" width="15" style="227" customWidth="1"/>
    <col min="23" max="23" width="17.7109375" style="225" customWidth="1"/>
    <col min="24" max="24" width="16" style="226" customWidth="1"/>
    <col min="25" max="25" width="18.7109375" style="225" customWidth="1"/>
    <col min="26" max="26" width="17.42578125" style="225" customWidth="1"/>
    <col min="27" max="27" width="45.140625" style="280" customWidth="1"/>
    <col min="28" max="31" width="17.42578125" style="225" hidden="1" customWidth="1"/>
    <col min="32" max="33" width="11.42578125" style="116" hidden="1" customWidth="1"/>
    <col min="34" max="34" width="12.42578125" style="116" hidden="1" customWidth="1"/>
    <col min="35" max="35" width="13.28515625" style="116" hidden="1" customWidth="1"/>
    <col min="36" max="36" width="12.7109375" style="116" hidden="1" customWidth="1"/>
    <col min="37" max="37" width="13" style="116" hidden="1" customWidth="1"/>
    <col min="38" max="38" width="25.85546875" style="116" customWidth="1"/>
    <col min="39" max="39" width="34" style="116" customWidth="1"/>
    <col min="40" max="45" width="20.7109375" hidden="1" customWidth="1"/>
    <col min="46" max="46" width="29.5703125" style="280" customWidth="1"/>
    <col min="47" max="48" width="20.7109375" style="280" customWidth="1"/>
    <col min="49" max="49" width="26.42578125" style="280" customWidth="1"/>
    <col min="50" max="52" width="27.28515625" style="280" customWidth="1"/>
    <col min="53" max="53" width="25.28515625" style="280" customWidth="1"/>
    <col min="54" max="58" width="20.7109375" style="280" hidden="1" customWidth="1"/>
    <col min="59" max="59" width="20.7109375" style="280" customWidth="1"/>
    <col min="60" max="60" width="20.7109375" style="280" hidden="1" customWidth="1"/>
    <col min="61" max="61" width="20.7109375" style="280" customWidth="1"/>
    <col min="62" max="62" width="32.7109375" style="280" customWidth="1"/>
    <col min="63" max="63" width="22.140625" customWidth="1"/>
    <col min="64" max="64" width="22.7109375" customWidth="1"/>
    <col min="65" max="65" width="12.140625" style="280" customWidth="1"/>
    <col min="66" max="66" width="22.140625" customWidth="1"/>
    <col min="68" max="68" width="16.42578125" bestFit="1" customWidth="1"/>
  </cols>
  <sheetData>
    <row r="1" spans="1:66" s="77" customFormat="1" ht="28.5">
      <c r="A1" s="685" t="s">
        <v>234</v>
      </c>
      <c r="B1" s="686"/>
      <c r="C1" s="686"/>
      <c r="D1" s="686"/>
      <c r="E1" s="686"/>
      <c r="F1" s="686"/>
      <c r="G1" s="686"/>
      <c r="H1" s="686"/>
      <c r="I1" s="686"/>
      <c r="J1" s="686"/>
      <c r="K1" s="686"/>
      <c r="L1" s="686"/>
      <c r="M1" s="686"/>
      <c r="N1" s="686"/>
      <c r="O1" s="687"/>
      <c r="P1" s="687"/>
      <c r="Q1" s="687"/>
      <c r="R1" s="687"/>
      <c r="S1" s="687"/>
      <c r="T1" s="687"/>
      <c r="U1" s="687"/>
      <c r="V1" s="687"/>
      <c r="W1" s="687"/>
      <c r="X1" s="687"/>
      <c r="Y1" s="687"/>
      <c r="Z1" s="687"/>
      <c r="AA1" s="687"/>
      <c r="AB1" s="687"/>
      <c r="AC1" s="687"/>
      <c r="AD1" s="687"/>
      <c r="AE1" s="687"/>
      <c r="AF1" s="686"/>
      <c r="AG1" s="686"/>
      <c r="AH1" s="686"/>
      <c r="AI1" s="686"/>
      <c r="AJ1" s="686"/>
      <c r="AK1" s="686"/>
      <c r="AL1" s="686"/>
      <c r="AM1" s="686"/>
      <c r="AN1" s="686"/>
      <c r="AO1" s="686"/>
      <c r="AP1" s="686"/>
      <c r="AQ1" s="686"/>
      <c r="AR1" s="686"/>
      <c r="AS1" s="686"/>
      <c r="AT1" s="686"/>
      <c r="AU1" s="686"/>
      <c r="AV1" s="686"/>
      <c r="AW1" s="686"/>
      <c r="AX1" s="686"/>
      <c r="AY1" s="686"/>
      <c r="AZ1" s="686"/>
      <c r="BA1" s="686"/>
      <c r="BB1" s="686"/>
      <c r="BC1" s="686"/>
      <c r="BD1" s="686"/>
      <c r="BE1" s="686"/>
      <c r="BF1" s="686"/>
      <c r="BG1" s="686"/>
      <c r="BH1" s="686"/>
      <c r="BI1" s="686"/>
      <c r="BJ1" s="686"/>
      <c r="BK1" s="688"/>
      <c r="BM1" s="600"/>
    </row>
    <row r="2" spans="1:66" s="78" customFormat="1" ht="28.5">
      <c r="A2" s="689" t="s">
        <v>235</v>
      </c>
      <c r="B2" s="690"/>
      <c r="C2" s="690"/>
      <c r="D2" s="690"/>
      <c r="E2" s="690"/>
      <c r="F2" s="690"/>
      <c r="G2" s="690"/>
      <c r="H2" s="690"/>
      <c r="I2" s="690"/>
      <c r="J2" s="690"/>
      <c r="K2" s="690"/>
      <c r="L2" s="690"/>
      <c r="M2" s="690"/>
      <c r="N2" s="690"/>
      <c r="O2" s="691"/>
      <c r="P2" s="691"/>
      <c r="Q2" s="691"/>
      <c r="R2" s="691"/>
      <c r="S2" s="691"/>
      <c r="T2" s="691"/>
      <c r="U2" s="691"/>
      <c r="V2" s="691"/>
      <c r="W2" s="691"/>
      <c r="X2" s="691"/>
      <c r="Y2" s="691"/>
      <c r="Z2" s="691"/>
      <c r="AA2" s="691"/>
      <c r="AB2" s="691"/>
      <c r="AC2" s="691"/>
      <c r="AD2" s="691"/>
      <c r="AE2" s="691"/>
      <c r="AF2" s="690"/>
      <c r="AG2" s="690"/>
      <c r="AH2" s="690"/>
      <c r="AI2" s="690"/>
      <c r="AJ2" s="690"/>
      <c r="AK2" s="690"/>
      <c r="AL2" s="690"/>
      <c r="AM2" s="690"/>
      <c r="AN2" s="690"/>
      <c r="AO2" s="690"/>
      <c r="AP2" s="690"/>
      <c r="AQ2" s="690"/>
      <c r="AR2" s="690"/>
      <c r="AS2" s="690"/>
      <c r="AT2" s="690"/>
      <c r="AU2" s="690"/>
      <c r="AV2" s="690"/>
      <c r="AW2" s="690"/>
      <c r="AX2" s="690"/>
      <c r="AY2" s="690"/>
      <c r="AZ2" s="690"/>
      <c r="BA2" s="690"/>
      <c r="BB2" s="690"/>
      <c r="BC2" s="690"/>
      <c r="BD2" s="690"/>
      <c r="BE2" s="690"/>
      <c r="BF2" s="690"/>
      <c r="BG2" s="690"/>
      <c r="BH2" s="690"/>
      <c r="BI2" s="690"/>
      <c r="BJ2" s="690"/>
      <c r="BK2" s="692"/>
      <c r="BM2" s="601"/>
    </row>
    <row r="3" spans="1:66" s="77" customFormat="1" ht="28.5">
      <c r="A3" s="689" t="s">
        <v>236</v>
      </c>
      <c r="B3" s="690"/>
      <c r="C3" s="690"/>
      <c r="D3" s="690"/>
      <c r="E3" s="690"/>
      <c r="F3" s="690"/>
      <c r="G3" s="690"/>
      <c r="H3" s="690"/>
      <c r="I3" s="690"/>
      <c r="J3" s="690"/>
      <c r="K3" s="690"/>
      <c r="L3" s="690"/>
      <c r="M3" s="690"/>
      <c r="N3" s="690"/>
      <c r="O3" s="691"/>
      <c r="P3" s="691"/>
      <c r="Q3" s="691"/>
      <c r="R3" s="691"/>
      <c r="S3" s="691"/>
      <c r="T3" s="691"/>
      <c r="U3" s="691"/>
      <c r="V3" s="691"/>
      <c r="W3" s="691"/>
      <c r="X3" s="691"/>
      <c r="Y3" s="691"/>
      <c r="Z3" s="691"/>
      <c r="AA3" s="691"/>
      <c r="AB3" s="691"/>
      <c r="AC3" s="691"/>
      <c r="AD3" s="691"/>
      <c r="AE3" s="691"/>
      <c r="AF3" s="690"/>
      <c r="AG3" s="690"/>
      <c r="AH3" s="690"/>
      <c r="AI3" s="690"/>
      <c r="AJ3" s="690"/>
      <c r="AK3" s="690"/>
      <c r="AL3" s="690"/>
      <c r="AM3" s="690"/>
      <c r="AN3" s="690"/>
      <c r="AO3" s="690"/>
      <c r="AP3" s="690"/>
      <c r="AQ3" s="690"/>
      <c r="AR3" s="690"/>
      <c r="AS3" s="690"/>
      <c r="AT3" s="690"/>
      <c r="AU3" s="690"/>
      <c r="AV3" s="690"/>
      <c r="AW3" s="690"/>
      <c r="AX3" s="690"/>
      <c r="AY3" s="690"/>
      <c r="AZ3" s="690"/>
      <c r="BA3" s="690"/>
      <c r="BB3" s="690"/>
      <c r="BC3" s="690"/>
      <c r="BD3" s="690"/>
      <c r="BE3" s="690"/>
      <c r="BF3" s="690"/>
      <c r="BG3" s="690"/>
      <c r="BH3" s="690"/>
      <c r="BI3" s="690"/>
      <c r="BJ3" s="690"/>
      <c r="BK3" s="692"/>
      <c r="BM3" s="600"/>
    </row>
    <row r="4" spans="1:66" s="77" customFormat="1" ht="29.25" thickBot="1">
      <c r="A4" s="693" t="s">
        <v>237</v>
      </c>
      <c r="B4" s="694"/>
      <c r="C4" s="694"/>
      <c r="D4" s="694"/>
      <c r="E4" s="694"/>
      <c r="F4" s="694"/>
      <c r="G4" s="694"/>
      <c r="H4" s="694"/>
      <c r="I4" s="694"/>
      <c r="J4" s="694"/>
      <c r="K4" s="694"/>
      <c r="L4" s="694"/>
      <c r="M4" s="694"/>
      <c r="N4" s="694"/>
      <c r="O4" s="695"/>
      <c r="P4" s="695"/>
      <c r="Q4" s="695"/>
      <c r="R4" s="695"/>
      <c r="S4" s="695"/>
      <c r="T4" s="695"/>
      <c r="U4" s="695"/>
      <c r="V4" s="695"/>
      <c r="W4" s="695"/>
      <c r="X4" s="695"/>
      <c r="Y4" s="695"/>
      <c r="Z4" s="695"/>
      <c r="AA4" s="695"/>
      <c r="AB4" s="695"/>
      <c r="AC4" s="695"/>
      <c r="AD4" s="695"/>
      <c r="AE4" s="695"/>
      <c r="AF4" s="694"/>
      <c r="AG4" s="694"/>
      <c r="AH4" s="694"/>
      <c r="AI4" s="694"/>
      <c r="AJ4" s="694"/>
      <c r="AK4" s="694"/>
      <c r="AL4" s="694"/>
      <c r="AM4" s="694"/>
      <c r="AN4" s="694"/>
      <c r="AO4" s="694"/>
      <c r="AP4" s="694"/>
      <c r="AQ4" s="694"/>
      <c r="AR4" s="694"/>
      <c r="AS4" s="694"/>
      <c r="AT4" s="694"/>
      <c r="AU4" s="694"/>
      <c r="AV4" s="694"/>
      <c r="AW4" s="694"/>
      <c r="AX4" s="694"/>
      <c r="AY4" s="694"/>
      <c r="AZ4" s="694"/>
      <c r="BA4" s="694"/>
      <c r="BB4" s="694"/>
      <c r="BC4" s="694"/>
      <c r="BD4" s="694"/>
      <c r="BE4" s="694"/>
      <c r="BF4" s="694"/>
      <c r="BG4" s="694"/>
      <c r="BH4" s="694"/>
      <c r="BI4" s="694"/>
      <c r="BJ4" s="694"/>
      <c r="BK4" s="696"/>
      <c r="BM4" s="600"/>
    </row>
    <row r="5" spans="1:66" ht="21.75" thickBot="1">
      <c r="A5" s="697" t="s">
        <v>238</v>
      </c>
      <c r="B5" s="698"/>
      <c r="C5" s="698"/>
      <c r="D5" s="698"/>
      <c r="E5" s="698"/>
      <c r="F5" s="698"/>
      <c r="G5" s="698"/>
      <c r="H5" s="698"/>
      <c r="I5" s="698"/>
      <c r="J5" s="698"/>
      <c r="K5" s="698"/>
      <c r="L5" s="698"/>
      <c r="M5" s="698"/>
      <c r="N5" s="698"/>
      <c r="O5" s="699"/>
      <c r="P5" s="699"/>
      <c r="Q5" s="699"/>
      <c r="R5" s="699"/>
      <c r="S5" s="699"/>
      <c r="T5" s="699"/>
      <c r="U5" s="699"/>
      <c r="V5" s="699"/>
      <c r="W5" s="699"/>
      <c r="X5" s="699"/>
      <c r="Y5" s="699"/>
      <c r="Z5" s="699"/>
      <c r="AA5" s="699"/>
      <c r="AB5" s="699"/>
      <c r="AC5" s="699"/>
      <c r="AD5" s="699"/>
      <c r="AE5" s="699"/>
      <c r="AF5" s="698"/>
      <c r="AG5" s="698"/>
      <c r="AH5" s="698"/>
      <c r="AI5" s="698"/>
      <c r="AJ5" s="698"/>
      <c r="AK5" s="698"/>
      <c r="AL5" s="698"/>
      <c r="AM5" s="700"/>
      <c r="AN5" s="701" t="s">
        <v>239</v>
      </c>
      <c r="AO5" s="702"/>
      <c r="AP5" s="702"/>
      <c r="AQ5" s="702"/>
      <c r="AR5" s="702"/>
      <c r="AS5" s="702"/>
      <c r="AT5" s="702"/>
      <c r="AU5" s="702"/>
      <c r="AV5" s="702"/>
      <c r="AW5" s="702"/>
      <c r="AX5" s="702"/>
      <c r="AY5" s="702"/>
      <c r="AZ5" s="702"/>
      <c r="BA5" s="702"/>
      <c r="BB5" s="702"/>
      <c r="BC5" s="702"/>
      <c r="BD5" s="702"/>
      <c r="BE5" s="702"/>
      <c r="BF5" s="702"/>
      <c r="BG5" s="702"/>
      <c r="BH5" s="702"/>
      <c r="BI5" s="702"/>
      <c r="BJ5" s="703"/>
      <c r="BK5" s="79" t="s">
        <v>240</v>
      </c>
    </row>
    <row r="6" spans="1:66" s="38" customFormat="1" ht="64.5" thickBot="1">
      <c r="A6" s="254" t="s">
        <v>241</v>
      </c>
      <c r="B6" s="254" t="s">
        <v>242</v>
      </c>
      <c r="C6" s="254" t="s">
        <v>243</v>
      </c>
      <c r="D6" s="254" t="s">
        <v>244</v>
      </c>
      <c r="E6" s="254" t="s">
        <v>245</v>
      </c>
      <c r="F6" s="254" t="s">
        <v>246</v>
      </c>
      <c r="G6" s="254" t="s">
        <v>247</v>
      </c>
      <c r="H6" s="254" t="s">
        <v>248</v>
      </c>
      <c r="I6" s="254" t="s">
        <v>249</v>
      </c>
      <c r="J6" s="254" t="s">
        <v>250</v>
      </c>
      <c r="K6" s="254" t="s">
        <v>251</v>
      </c>
      <c r="L6" s="254" t="s">
        <v>252</v>
      </c>
      <c r="M6" s="254" t="s">
        <v>253</v>
      </c>
      <c r="N6" s="254" t="s">
        <v>254</v>
      </c>
      <c r="O6" s="255" t="s">
        <v>255</v>
      </c>
      <c r="P6" s="255" t="s">
        <v>256</v>
      </c>
      <c r="Q6" s="255" t="s">
        <v>257</v>
      </c>
      <c r="R6" s="255" t="s">
        <v>258</v>
      </c>
      <c r="S6" s="255" t="s">
        <v>259</v>
      </c>
      <c r="T6" s="255" t="s">
        <v>260</v>
      </c>
      <c r="U6" s="255" t="s">
        <v>261</v>
      </c>
      <c r="V6" s="255" t="s">
        <v>262</v>
      </c>
      <c r="W6" s="255" t="s">
        <v>263</v>
      </c>
      <c r="X6" s="255" t="s">
        <v>264</v>
      </c>
      <c r="Y6" s="255" t="s">
        <v>265</v>
      </c>
      <c r="Z6" s="255" t="s">
        <v>266</v>
      </c>
      <c r="AA6" s="303" t="s">
        <v>267</v>
      </c>
      <c r="AB6" s="255" t="s">
        <v>268</v>
      </c>
      <c r="AC6" s="255" t="s">
        <v>269</v>
      </c>
      <c r="AD6" s="255" t="s">
        <v>270</v>
      </c>
      <c r="AE6" s="255" t="s">
        <v>271</v>
      </c>
      <c r="AF6" s="254" t="s">
        <v>272</v>
      </c>
      <c r="AG6" s="254" t="s">
        <v>273</v>
      </c>
      <c r="AH6" s="254" t="s">
        <v>274</v>
      </c>
      <c r="AI6" s="254" t="s">
        <v>275</v>
      </c>
      <c r="AJ6" s="254" t="s">
        <v>276</v>
      </c>
      <c r="AK6" s="254" t="s">
        <v>277</v>
      </c>
      <c r="AL6" s="254" t="s">
        <v>278</v>
      </c>
      <c r="AM6" s="254" t="s">
        <v>279</v>
      </c>
      <c r="AN6" s="254" t="s">
        <v>280</v>
      </c>
      <c r="AO6" s="256" t="s">
        <v>281</v>
      </c>
      <c r="AP6" s="257" t="s">
        <v>282</v>
      </c>
      <c r="AQ6" s="257" t="s">
        <v>283</v>
      </c>
      <c r="AR6" s="257" t="s">
        <v>284</v>
      </c>
      <c r="AS6" s="257" t="s">
        <v>285</v>
      </c>
      <c r="AT6" s="262" t="s">
        <v>286</v>
      </c>
      <c r="AU6" s="262" t="s">
        <v>287</v>
      </c>
      <c r="AV6" s="262" t="s">
        <v>288</v>
      </c>
      <c r="AW6" s="262" t="s">
        <v>289</v>
      </c>
      <c r="AX6" s="262" t="s">
        <v>290</v>
      </c>
      <c r="AY6" s="262" t="s">
        <v>291</v>
      </c>
      <c r="AZ6" s="262" t="s">
        <v>292</v>
      </c>
      <c r="BA6" s="262" t="s">
        <v>293</v>
      </c>
      <c r="BB6" s="262" t="s">
        <v>294</v>
      </c>
      <c r="BC6" s="262" t="s">
        <v>295</v>
      </c>
      <c r="BD6" s="262" t="s">
        <v>296</v>
      </c>
      <c r="BE6" s="262" t="s">
        <v>297</v>
      </c>
      <c r="BF6" s="262" t="s">
        <v>298</v>
      </c>
      <c r="BG6" s="262" t="s">
        <v>299</v>
      </c>
      <c r="BH6" s="262" t="s">
        <v>300</v>
      </c>
      <c r="BI6" s="262" t="s">
        <v>301</v>
      </c>
      <c r="BJ6" s="262" t="s">
        <v>302</v>
      </c>
      <c r="BK6" s="257" t="s">
        <v>303</v>
      </c>
      <c r="BM6" s="280"/>
    </row>
    <row r="7" spans="1:66" ht="345.75" thickTop="1">
      <c r="A7" s="80">
        <v>1</v>
      </c>
      <c r="B7" s="81" t="s">
        <v>6</v>
      </c>
      <c r="C7" s="82" t="s">
        <v>304</v>
      </c>
      <c r="D7" s="82" t="s">
        <v>305</v>
      </c>
      <c r="E7" s="83" t="s">
        <v>114</v>
      </c>
      <c r="F7" s="84" t="s">
        <v>306</v>
      </c>
      <c r="G7" s="83" t="s">
        <v>307</v>
      </c>
      <c r="H7" s="85" t="s">
        <v>308</v>
      </c>
      <c r="I7" s="85" t="s">
        <v>309</v>
      </c>
      <c r="J7" s="704">
        <v>0.95</v>
      </c>
      <c r="K7" s="704">
        <v>0.95</v>
      </c>
      <c r="L7" s="86" t="s">
        <v>310</v>
      </c>
      <c r="M7" s="682" t="s">
        <v>311</v>
      </c>
      <c r="N7" s="87">
        <v>25</v>
      </c>
      <c r="O7" s="88" t="s">
        <v>312</v>
      </c>
      <c r="P7" s="89" t="s">
        <v>313</v>
      </c>
      <c r="Q7" s="90" t="s">
        <v>11</v>
      </c>
      <c r="R7" s="91">
        <v>19</v>
      </c>
      <c r="S7" s="92" t="s">
        <v>12</v>
      </c>
      <c r="T7" s="93">
        <v>1906</v>
      </c>
      <c r="U7" s="94" t="s">
        <v>13</v>
      </c>
      <c r="V7" s="95">
        <v>1906004</v>
      </c>
      <c r="W7" s="96" t="s">
        <v>314</v>
      </c>
      <c r="X7" s="95" t="s">
        <v>315</v>
      </c>
      <c r="Y7" s="97" t="s">
        <v>14</v>
      </c>
      <c r="Z7" s="98" t="s">
        <v>316</v>
      </c>
      <c r="AA7" s="304" t="s">
        <v>120</v>
      </c>
      <c r="AB7" s="100" t="s">
        <v>317</v>
      </c>
      <c r="AC7" s="99" t="s">
        <v>318</v>
      </c>
      <c r="AD7" s="101" t="s">
        <v>319</v>
      </c>
      <c r="AE7" s="99" t="s">
        <v>320</v>
      </c>
      <c r="AF7" s="102">
        <v>1</v>
      </c>
      <c r="AG7" s="103">
        <v>1</v>
      </c>
      <c r="AH7" s="104">
        <v>1</v>
      </c>
      <c r="AI7" s="104">
        <v>1</v>
      </c>
      <c r="AJ7" s="104">
        <v>1</v>
      </c>
      <c r="AK7" s="105">
        <v>1</v>
      </c>
      <c r="AL7" s="106" t="s">
        <v>321</v>
      </c>
      <c r="AM7" s="107" t="s">
        <v>322</v>
      </c>
      <c r="AN7" s="108"/>
      <c r="AO7" s="108"/>
      <c r="AP7" s="108"/>
      <c r="AQ7" s="108"/>
      <c r="AR7" s="108"/>
      <c r="AS7" s="109"/>
      <c r="AT7" s="263">
        <f>32944646167.25</f>
        <v>32944646167.25</v>
      </c>
      <c r="AU7" s="264"/>
      <c r="AV7" s="265"/>
      <c r="AW7" s="265"/>
      <c r="AX7" s="266">
        <v>64693848545.529999</v>
      </c>
      <c r="AY7" s="266">
        <f>1432858105.4431</f>
        <v>1432858105.4431</v>
      </c>
      <c r="AZ7" s="266">
        <v>22324284376.820801</v>
      </c>
      <c r="BA7" s="267"/>
      <c r="BB7" s="268"/>
      <c r="BC7" s="268"/>
      <c r="BD7" s="265"/>
      <c r="BE7" s="265"/>
      <c r="BF7" s="265"/>
      <c r="BG7" s="265"/>
      <c r="BH7" s="265"/>
      <c r="BI7" s="269"/>
      <c r="BJ7" s="270">
        <f>SUM(AN7:BI7)</f>
        <v>121395637195.0439</v>
      </c>
      <c r="BK7" s="110" t="s">
        <v>323</v>
      </c>
    </row>
    <row r="8" spans="1:66" ht="345">
      <c r="A8" s="80">
        <v>1</v>
      </c>
      <c r="B8" s="81" t="s">
        <v>6</v>
      </c>
      <c r="C8" s="82" t="s">
        <v>304</v>
      </c>
      <c r="D8" s="82" t="s">
        <v>305</v>
      </c>
      <c r="E8" s="83" t="s">
        <v>114</v>
      </c>
      <c r="F8" s="84" t="s">
        <v>306</v>
      </c>
      <c r="G8" s="83" t="s">
        <v>307</v>
      </c>
      <c r="H8" s="85" t="s">
        <v>308</v>
      </c>
      <c r="I8" s="85" t="s">
        <v>309</v>
      </c>
      <c r="J8" s="705"/>
      <c r="K8" s="705"/>
      <c r="L8" s="86" t="s">
        <v>310</v>
      </c>
      <c r="M8" s="682"/>
      <c r="N8" s="87">
        <v>26</v>
      </c>
      <c r="O8" s="88" t="s">
        <v>324</v>
      </c>
      <c r="P8" s="89" t="s">
        <v>325</v>
      </c>
      <c r="Q8" s="90" t="s">
        <v>11</v>
      </c>
      <c r="R8" s="91">
        <v>19</v>
      </c>
      <c r="S8" s="92" t="s">
        <v>12</v>
      </c>
      <c r="T8" s="93">
        <v>1906</v>
      </c>
      <c r="U8" s="94" t="s">
        <v>13</v>
      </c>
      <c r="V8" s="95">
        <v>1906004</v>
      </c>
      <c r="W8" s="111" t="s">
        <v>314</v>
      </c>
      <c r="X8" s="95">
        <v>190600401</v>
      </c>
      <c r="Y8" s="97" t="s">
        <v>17</v>
      </c>
      <c r="Z8" s="98" t="s">
        <v>316</v>
      </c>
      <c r="AA8" s="304" t="s">
        <v>326</v>
      </c>
      <c r="AB8" s="100" t="s">
        <v>317</v>
      </c>
      <c r="AC8" s="99" t="s">
        <v>318</v>
      </c>
      <c r="AD8" s="101" t="s">
        <v>319</v>
      </c>
      <c r="AE8" s="99" t="s">
        <v>320</v>
      </c>
      <c r="AF8" s="102">
        <v>1</v>
      </c>
      <c r="AG8" s="103">
        <v>1</v>
      </c>
      <c r="AH8" s="104">
        <v>1</v>
      </c>
      <c r="AI8" s="104">
        <v>1</v>
      </c>
      <c r="AJ8" s="104">
        <v>1</v>
      </c>
      <c r="AK8" s="105">
        <v>1</v>
      </c>
      <c r="AL8" s="106" t="s">
        <v>321</v>
      </c>
      <c r="AM8" s="107" t="s">
        <v>322</v>
      </c>
      <c r="AN8" s="108"/>
      <c r="AO8" s="108"/>
      <c r="AP8" s="108"/>
      <c r="AQ8" s="108"/>
      <c r="AR8" s="108"/>
      <c r="AS8" s="108"/>
      <c r="AT8" s="265"/>
      <c r="AU8" s="265"/>
      <c r="AV8" s="265"/>
      <c r="AW8" s="265"/>
      <c r="AX8" s="269"/>
      <c r="AY8" s="271">
        <f>30802990.16</f>
        <v>30802990.16</v>
      </c>
      <c r="AZ8" s="272"/>
      <c r="BA8" s="272"/>
      <c r="BB8" s="272"/>
      <c r="BC8" s="268"/>
      <c r="BD8" s="265"/>
      <c r="BE8" s="265"/>
      <c r="BF8" s="265"/>
      <c r="BG8" s="265"/>
      <c r="BH8" s="265"/>
      <c r="BI8" s="268"/>
      <c r="BJ8" s="270">
        <f t="shared" ref="BJ8:BJ44" si="0">SUM(AN8:BI8)</f>
        <v>30802990.16</v>
      </c>
      <c r="BK8" s="110" t="s">
        <v>323</v>
      </c>
    </row>
    <row r="9" spans="1:66" ht="345">
      <c r="A9" s="80">
        <v>1</v>
      </c>
      <c r="B9" s="81" t="s">
        <v>6</v>
      </c>
      <c r="C9" s="82" t="s">
        <v>304</v>
      </c>
      <c r="D9" s="82" t="s">
        <v>305</v>
      </c>
      <c r="E9" s="83" t="s">
        <v>114</v>
      </c>
      <c r="F9" s="84" t="s">
        <v>306</v>
      </c>
      <c r="G9" s="83" t="s">
        <v>307</v>
      </c>
      <c r="H9" s="85" t="s">
        <v>327</v>
      </c>
      <c r="I9" s="85" t="s">
        <v>328</v>
      </c>
      <c r="J9" s="112">
        <v>1</v>
      </c>
      <c r="K9" s="112">
        <v>1</v>
      </c>
      <c r="L9" s="89" t="s">
        <v>310</v>
      </c>
      <c r="M9" s="682"/>
      <c r="N9" s="87">
        <v>27</v>
      </c>
      <c r="O9" s="88" t="s">
        <v>329</v>
      </c>
      <c r="P9" s="89" t="s">
        <v>330</v>
      </c>
      <c r="Q9" s="90" t="s">
        <v>11</v>
      </c>
      <c r="R9" s="91">
        <v>19</v>
      </c>
      <c r="S9" s="92" t="s">
        <v>12</v>
      </c>
      <c r="T9" s="93">
        <v>1906</v>
      </c>
      <c r="U9" s="94" t="s">
        <v>13</v>
      </c>
      <c r="V9" s="95">
        <v>1906004</v>
      </c>
      <c r="W9" s="111" t="s">
        <v>314</v>
      </c>
      <c r="X9" s="95" t="s">
        <v>315</v>
      </c>
      <c r="Y9" s="97" t="s">
        <v>14</v>
      </c>
      <c r="Z9" s="98" t="s">
        <v>316</v>
      </c>
      <c r="AA9" s="304" t="s">
        <v>331</v>
      </c>
      <c r="AB9" s="100" t="s">
        <v>317</v>
      </c>
      <c r="AC9" s="99" t="s">
        <v>318</v>
      </c>
      <c r="AD9" s="101" t="s">
        <v>319</v>
      </c>
      <c r="AE9" s="99" t="s">
        <v>320</v>
      </c>
      <c r="AF9" s="102">
        <v>1</v>
      </c>
      <c r="AG9" s="102">
        <v>1</v>
      </c>
      <c r="AH9" s="104">
        <v>1</v>
      </c>
      <c r="AI9" s="104">
        <v>1</v>
      </c>
      <c r="AJ9" s="104">
        <v>1</v>
      </c>
      <c r="AK9" s="105">
        <v>1</v>
      </c>
      <c r="AL9" s="106" t="s">
        <v>321</v>
      </c>
      <c r="AM9" s="107" t="s">
        <v>322</v>
      </c>
      <c r="AN9" s="108"/>
      <c r="AO9" s="108"/>
      <c r="AP9" s="108"/>
      <c r="AQ9" s="108"/>
      <c r="AR9" s="108"/>
      <c r="AS9" s="108"/>
      <c r="AT9" s="265"/>
      <c r="AU9" s="265"/>
      <c r="AV9" s="265"/>
      <c r="AW9" s="273"/>
      <c r="AX9" s="265"/>
      <c r="AY9" s="272"/>
      <c r="AZ9" s="272"/>
      <c r="BA9" s="266">
        <v>421210896.67699999</v>
      </c>
      <c r="BB9" s="272"/>
      <c r="BC9" s="268"/>
      <c r="BD9" s="265"/>
      <c r="BE9" s="265"/>
      <c r="BF9" s="265"/>
      <c r="BG9" s="265"/>
      <c r="BH9" s="265"/>
      <c r="BI9" s="268"/>
      <c r="BJ9" s="270">
        <f t="shared" si="0"/>
        <v>421210896.67699999</v>
      </c>
      <c r="BK9" s="110" t="s">
        <v>323</v>
      </c>
    </row>
    <row r="10" spans="1:66" ht="345">
      <c r="A10" s="80">
        <v>1</v>
      </c>
      <c r="B10" s="81" t="s">
        <v>6</v>
      </c>
      <c r="C10" s="82" t="s">
        <v>304</v>
      </c>
      <c r="D10" s="82" t="s">
        <v>305</v>
      </c>
      <c r="E10" s="83" t="s">
        <v>114</v>
      </c>
      <c r="F10" s="84" t="s">
        <v>306</v>
      </c>
      <c r="G10" s="83" t="s">
        <v>332</v>
      </c>
      <c r="H10" s="85" t="s">
        <v>333</v>
      </c>
      <c r="I10" s="85" t="s">
        <v>334</v>
      </c>
      <c r="J10" s="113">
        <v>0</v>
      </c>
      <c r="K10" s="112">
        <v>1</v>
      </c>
      <c r="L10" s="86" t="s">
        <v>335</v>
      </c>
      <c r="M10" s="682" t="s">
        <v>336</v>
      </c>
      <c r="N10" s="87">
        <v>28</v>
      </c>
      <c r="O10" s="88" t="s">
        <v>337</v>
      </c>
      <c r="P10" s="89" t="s">
        <v>338</v>
      </c>
      <c r="Q10" s="90" t="s">
        <v>11</v>
      </c>
      <c r="R10" s="91">
        <v>19</v>
      </c>
      <c r="S10" s="92" t="s">
        <v>19</v>
      </c>
      <c r="T10" s="93">
        <v>1905</v>
      </c>
      <c r="U10" s="94" t="s">
        <v>20</v>
      </c>
      <c r="V10" s="95">
        <v>1905024</v>
      </c>
      <c r="W10" s="111" t="s">
        <v>339</v>
      </c>
      <c r="X10" s="95">
        <v>190502400</v>
      </c>
      <c r="Y10" s="97" t="s">
        <v>21</v>
      </c>
      <c r="Z10" s="98" t="s">
        <v>316</v>
      </c>
      <c r="AA10" s="304" t="s">
        <v>340</v>
      </c>
      <c r="AB10" s="100" t="s">
        <v>341</v>
      </c>
      <c r="AC10" s="99" t="s">
        <v>342</v>
      </c>
      <c r="AD10" s="101" t="s">
        <v>319</v>
      </c>
      <c r="AE10" s="99" t="s">
        <v>320</v>
      </c>
      <c r="AF10" s="114">
        <v>0</v>
      </c>
      <c r="AG10" s="103">
        <v>1</v>
      </c>
      <c r="AH10" s="104">
        <v>1</v>
      </c>
      <c r="AI10" s="104">
        <v>1</v>
      </c>
      <c r="AJ10" s="104">
        <v>1</v>
      </c>
      <c r="AK10" s="105">
        <v>1</v>
      </c>
      <c r="AL10" s="115"/>
      <c r="AN10" s="108"/>
      <c r="AO10" s="108"/>
      <c r="AP10" s="108"/>
      <c r="AQ10" s="108"/>
      <c r="AR10" s="108"/>
      <c r="AS10" s="108"/>
      <c r="AT10" s="263">
        <f>40439000</f>
        <v>40439000</v>
      </c>
      <c r="AU10" s="273"/>
      <c r="AV10" s="273"/>
      <c r="AW10" s="273"/>
      <c r="AX10" s="265"/>
      <c r="AY10" s="268"/>
      <c r="AZ10" s="268"/>
      <c r="BA10" s="268"/>
      <c r="BB10" s="268"/>
      <c r="BC10" s="268"/>
      <c r="BD10" s="265"/>
      <c r="BE10" s="265"/>
      <c r="BF10" s="265"/>
      <c r="BG10" s="265"/>
      <c r="BH10" s="265"/>
      <c r="BI10" s="268"/>
      <c r="BJ10" s="270">
        <f t="shared" si="0"/>
        <v>40439000</v>
      </c>
      <c r="BK10" s="110" t="s">
        <v>323</v>
      </c>
      <c r="BL10" s="117"/>
      <c r="BM10" s="602"/>
      <c r="BN10" s="117"/>
    </row>
    <row r="11" spans="1:66" ht="345">
      <c r="A11" s="80">
        <v>1</v>
      </c>
      <c r="B11" s="81" t="s">
        <v>6</v>
      </c>
      <c r="C11" s="82" t="s">
        <v>304</v>
      </c>
      <c r="D11" s="82" t="s">
        <v>305</v>
      </c>
      <c r="E11" s="83" t="s">
        <v>114</v>
      </c>
      <c r="F11" s="84" t="s">
        <v>306</v>
      </c>
      <c r="G11" s="83" t="s">
        <v>332</v>
      </c>
      <c r="H11" s="85" t="s">
        <v>343</v>
      </c>
      <c r="I11" s="85" t="s">
        <v>344</v>
      </c>
      <c r="J11" s="113">
        <v>0</v>
      </c>
      <c r="K11" s="118">
        <v>2</v>
      </c>
      <c r="L11" s="86" t="s">
        <v>335</v>
      </c>
      <c r="M11" s="682"/>
      <c r="N11" s="87">
        <v>29</v>
      </c>
      <c r="O11" s="88" t="s">
        <v>345</v>
      </c>
      <c r="P11" s="89" t="s">
        <v>346</v>
      </c>
      <c r="Q11" s="90" t="s">
        <v>11</v>
      </c>
      <c r="R11" s="91">
        <v>19</v>
      </c>
      <c r="S11" s="92" t="s">
        <v>19</v>
      </c>
      <c r="T11" s="93">
        <v>1905</v>
      </c>
      <c r="U11" s="94" t="s">
        <v>20</v>
      </c>
      <c r="V11" s="95">
        <v>1905024</v>
      </c>
      <c r="W11" s="111" t="s">
        <v>339</v>
      </c>
      <c r="X11" s="95">
        <v>190502400</v>
      </c>
      <c r="Y11" s="97" t="s">
        <v>21</v>
      </c>
      <c r="Z11" s="98" t="s">
        <v>316</v>
      </c>
      <c r="AA11" s="304" t="s">
        <v>347</v>
      </c>
      <c r="AB11" s="100" t="s">
        <v>341</v>
      </c>
      <c r="AC11" s="99" t="s">
        <v>342</v>
      </c>
      <c r="AD11" s="101" t="s">
        <v>319</v>
      </c>
      <c r="AE11" s="99" t="s">
        <v>320</v>
      </c>
      <c r="AF11" s="114">
        <v>0</v>
      </c>
      <c r="AG11" s="103">
        <v>1</v>
      </c>
      <c r="AH11" s="104">
        <v>1</v>
      </c>
      <c r="AI11" s="104">
        <v>1</v>
      </c>
      <c r="AJ11" s="104">
        <v>1</v>
      </c>
      <c r="AK11" s="105">
        <v>1</v>
      </c>
      <c r="AL11" s="119" t="s">
        <v>348</v>
      </c>
      <c r="AM11" s="120" t="s">
        <v>349</v>
      </c>
      <c r="AN11" s="108"/>
      <c r="AO11" s="108"/>
      <c r="AP11" s="108"/>
      <c r="AQ11" s="108"/>
      <c r="AR11" s="108"/>
      <c r="AS11" s="108"/>
      <c r="AT11" s="263">
        <f>6392238.7716</f>
        <v>6392238.7715999996</v>
      </c>
      <c r="AU11" s="273"/>
      <c r="AV11" s="273"/>
      <c r="AW11" s="273"/>
      <c r="AX11" s="265"/>
      <c r="AY11" s="268"/>
      <c r="AZ11" s="268"/>
      <c r="BA11" s="268"/>
      <c r="BB11" s="268"/>
      <c r="BC11" s="268"/>
      <c r="BD11" s="265"/>
      <c r="BE11" s="265"/>
      <c r="BF11" s="265"/>
      <c r="BG11" s="265"/>
      <c r="BH11" s="265"/>
      <c r="BI11" s="268"/>
      <c r="BJ11" s="270">
        <f t="shared" si="0"/>
        <v>6392238.7715999996</v>
      </c>
      <c r="BK11" s="110" t="s">
        <v>323</v>
      </c>
      <c r="BL11" s="117"/>
      <c r="BM11" s="298"/>
      <c r="BN11" s="117"/>
    </row>
    <row r="12" spans="1:66" ht="345">
      <c r="A12" s="80">
        <v>1</v>
      </c>
      <c r="B12" s="81" t="s">
        <v>6</v>
      </c>
      <c r="C12" s="82" t="s">
        <v>304</v>
      </c>
      <c r="D12" s="82" t="s">
        <v>305</v>
      </c>
      <c r="E12" s="83" t="s">
        <v>114</v>
      </c>
      <c r="F12" s="84" t="s">
        <v>306</v>
      </c>
      <c r="G12" s="83" t="s">
        <v>332</v>
      </c>
      <c r="H12" s="85" t="s">
        <v>350</v>
      </c>
      <c r="I12" s="85" t="s">
        <v>351</v>
      </c>
      <c r="J12" s="705">
        <v>0</v>
      </c>
      <c r="K12" s="704">
        <v>1</v>
      </c>
      <c r="L12" s="86" t="s">
        <v>335</v>
      </c>
      <c r="M12" s="682"/>
      <c r="N12" s="87">
        <v>30</v>
      </c>
      <c r="O12" s="88" t="s">
        <v>352</v>
      </c>
      <c r="P12" s="89" t="s">
        <v>353</v>
      </c>
      <c r="Q12" s="90" t="s">
        <v>11</v>
      </c>
      <c r="R12" s="91">
        <v>19</v>
      </c>
      <c r="S12" s="92" t="s">
        <v>19</v>
      </c>
      <c r="T12" s="93">
        <v>1905</v>
      </c>
      <c r="U12" s="94" t="s">
        <v>20</v>
      </c>
      <c r="V12" s="95">
        <v>1905024</v>
      </c>
      <c r="W12" s="111" t="s">
        <v>339</v>
      </c>
      <c r="X12" s="95">
        <v>190502400</v>
      </c>
      <c r="Y12" s="97" t="s">
        <v>21</v>
      </c>
      <c r="Z12" s="98" t="s">
        <v>316</v>
      </c>
      <c r="AA12" s="304" t="s">
        <v>354</v>
      </c>
      <c r="AB12" s="100" t="s">
        <v>341</v>
      </c>
      <c r="AC12" s="99" t="s">
        <v>342</v>
      </c>
      <c r="AD12" s="101" t="s">
        <v>319</v>
      </c>
      <c r="AE12" s="99" t="s">
        <v>320</v>
      </c>
      <c r="AF12" s="102">
        <v>1</v>
      </c>
      <c r="AG12" s="103">
        <v>1</v>
      </c>
      <c r="AH12" s="104">
        <v>1</v>
      </c>
      <c r="AI12" s="104">
        <v>1</v>
      </c>
      <c r="AJ12" s="104">
        <v>1</v>
      </c>
      <c r="AK12" s="105">
        <v>1</v>
      </c>
      <c r="AL12" s="122" t="s">
        <v>355</v>
      </c>
      <c r="AM12" s="107" t="s">
        <v>356</v>
      </c>
      <c r="AN12" s="108"/>
      <c r="AO12" s="108"/>
      <c r="AP12" s="108"/>
      <c r="AQ12" s="108"/>
      <c r="AR12" s="108"/>
      <c r="AS12" s="108"/>
      <c r="AT12" s="273"/>
      <c r="AU12" s="273"/>
      <c r="AV12" s="273"/>
      <c r="AW12" s="274">
        <f>60000000</f>
        <v>60000000</v>
      </c>
      <c r="AX12" s="265"/>
      <c r="AY12" s="268"/>
      <c r="AZ12" s="268"/>
      <c r="BA12" s="268"/>
      <c r="BB12" s="268"/>
      <c r="BC12" s="268"/>
      <c r="BD12" s="265"/>
      <c r="BE12" s="265"/>
      <c r="BF12" s="265"/>
      <c r="BG12" s="265"/>
      <c r="BH12" s="265"/>
      <c r="BI12" s="275">
        <v>106141504.3325</v>
      </c>
      <c r="BJ12" s="270">
        <f>SUM(AN12:BI12)</f>
        <v>166141504.33249998</v>
      </c>
      <c r="BK12" s="110" t="s">
        <v>323</v>
      </c>
      <c r="BL12" s="117"/>
      <c r="BM12" s="602"/>
      <c r="BN12" s="117"/>
    </row>
    <row r="13" spans="1:66" ht="345">
      <c r="A13" s="80">
        <v>1</v>
      </c>
      <c r="B13" s="81" t="s">
        <v>6</v>
      </c>
      <c r="C13" s="82" t="s">
        <v>304</v>
      </c>
      <c r="D13" s="82" t="s">
        <v>305</v>
      </c>
      <c r="E13" s="83" t="s">
        <v>114</v>
      </c>
      <c r="F13" s="84" t="s">
        <v>306</v>
      </c>
      <c r="G13" s="83" t="s">
        <v>332</v>
      </c>
      <c r="H13" s="85" t="s">
        <v>350</v>
      </c>
      <c r="I13" s="85" t="s">
        <v>351</v>
      </c>
      <c r="J13" s="705"/>
      <c r="K13" s="704"/>
      <c r="L13" s="86" t="s">
        <v>335</v>
      </c>
      <c r="M13" s="682"/>
      <c r="N13" s="87">
        <v>31</v>
      </c>
      <c r="O13" s="88" t="s">
        <v>357</v>
      </c>
      <c r="P13" s="89" t="s">
        <v>358</v>
      </c>
      <c r="Q13" s="90" t="s">
        <v>11</v>
      </c>
      <c r="R13" s="91">
        <v>19</v>
      </c>
      <c r="S13" s="92" t="s">
        <v>23</v>
      </c>
      <c r="T13" s="93">
        <v>1903</v>
      </c>
      <c r="U13" s="94" t="s">
        <v>24</v>
      </c>
      <c r="V13" s="95" t="s">
        <v>25</v>
      </c>
      <c r="W13" s="111" t="s">
        <v>359</v>
      </c>
      <c r="X13" s="95" t="s">
        <v>360</v>
      </c>
      <c r="Y13" s="97" t="s">
        <v>26</v>
      </c>
      <c r="Z13" s="98" t="s">
        <v>316</v>
      </c>
      <c r="AA13" s="304" t="s">
        <v>361</v>
      </c>
      <c r="AB13" s="100" t="s">
        <v>341</v>
      </c>
      <c r="AC13" s="99" t="s">
        <v>342</v>
      </c>
      <c r="AD13" s="101" t="s">
        <v>319</v>
      </c>
      <c r="AE13" s="99" t="s">
        <v>320</v>
      </c>
      <c r="AF13" s="114">
        <v>0</v>
      </c>
      <c r="AG13" s="103">
        <v>1</v>
      </c>
      <c r="AH13" s="104">
        <v>1</v>
      </c>
      <c r="AI13" s="104">
        <v>1</v>
      </c>
      <c r="AJ13" s="104">
        <v>1</v>
      </c>
      <c r="AK13" s="105">
        <v>1</v>
      </c>
      <c r="AL13" s="123" t="s">
        <v>362</v>
      </c>
      <c r="AM13" s="124" t="s">
        <v>363</v>
      </c>
      <c r="AN13" s="108"/>
      <c r="AO13" s="108"/>
      <c r="AP13" s="108"/>
      <c r="AQ13" s="108"/>
      <c r="AR13" s="108"/>
      <c r="AS13" s="108"/>
      <c r="AT13" s="276">
        <f>46216000</f>
        <v>46216000</v>
      </c>
      <c r="AU13" s="273"/>
      <c r="AV13" s="273"/>
      <c r="AW13" s="273"/>
      <c r="AX13" s="265"/>
      <c r="AY13" s="268"/>
      <c r="AZ13" s="268"/>
      <c r="BA13" s="268"/>
      <c r="BB13" s="268"/>
      <c r="BC13" s="268"/>
      <c r="BD13" s="265"/>
      <c r="BE13" s="265"/>
      <c r="BF13" s="265"/>
      <c r="BG13" s="265"/>
      <c r="BH13" s="265"/>
      <c r="BI13" s="268"/>
      <c r="BJ13" s="270">
        <f t="shared" si="0"/>
        <v>46216000</v>
      </c>
      <c r="BK13" s="110" t="s">
        <v>323</v>
      </c>
    </row>
    <row r="14" spans="1:66" ht="409.5">
      <c r="A14" s="80">
        <v>1</v>
      </c>
      <c r="B14" s="81" t="s">
        <v>6</v>
      </c>
      <c r="C14" s="82" t="s">
        <v>304</v>
      </c>
      <c r="D14" s="82" t="s">
        <v>305</v>
      </c>
      <c r="E14" s="83" t="s">
        <v>114</v>
      </c>
      <c r="F14" s="84" t="s">
        <v>306</v>
      </c>
      <c r="G14" s="83" t="s">
        <v>364</v>
      </c>
      <c r="H14" s="85" t="s">
        <v>365</v>
      </c>
      <c r="I14" s="85" t="s">
        <v>366</v>
      </c>
      <c r="J14" s="113" t="s">
        <v>367</v>
      </c>
      <c r="K14" s="113">
        <v>11.45</v>
      </c>
      <c r="L14" s="87" t="s">
        <v>368</v>
      </c>
      <c r="M14" s="87" t="s">
        <v>369</v>
      </c>
      <c r="N14" s="87">
        <v>32</v>
      </c>
      <c r="O14" s="88" t="s">
        <v>370</v>
      </c>
      <c r="P14" s="89" t="s">
        <v>371</v>
      </c>
      <c r="Q14" s="90" t="s">
        <v>11</v>
      </c>
      <c r="R14" s="91">
        <v>19</v>
      </c>
      <c r="S14" s="92" t="s">
        <v>19</v>
      </c>
      <c r="T14" s="93">
        <v>1905</v>
      </c>
      <c r="U14" s="92" t="s">
        <v>33</v>
      </c>
      <c r="V14" s="95">
        <v>1905031</v>
      </c>
      <c r="W14" s="92" t="s">
        <v>372</v>
      </c>
      <c r="X14" s="95">
        <v>190503100</v>
      </c>
      <c r="Y14" s="125" t="s">
        <v>34</v>
      </c>
      <c r="Z14" s="98" t="s">
        <v>316</v>
      </c>
      <c r="AA14" s="304" t="s">
        <v>373</v>
      </c>
      <c r="AB14" s="100" t="s">
        <v>341</v>
      </c>
      <c r="AC14" s="99" t="s">
        <v>342</v>
      </c>
      <c r="AD14" s="101" t="s">
        <v>319</v>
      </c>
      <c r="AE14" s="99" t="s">
        <v>320</v>
      </c>
      <c r="AF14" s="114">
        <v>0</v>
      </c>
      <c r="AG14" s="103">
        <v>1</v>
      </c>
      <c r="AH14" s="104">
        <v>1</v>
      </c>
      <c r="AI14" s="104">
        <v>1</v>
      </c>
      <c r="AJ14" s="104">
        <v>1</v>
      </c>
      <c r="AK14" s="105">
        <v>1</v>
      </c>
      <c r="AL14" s="119" t="s">
        <v>348</v>
      </c>
      <c r="AM14" s="120" t="s">
        <v>349</v>
      </c>
      <c r="AN14" s="108"/>
      <c r="AO14" s="108"/>
      <c r="AP14" s="108"/>
      <c r="AQ14" s="108"/>
      <c r="AR14" s="108"/>
      <c r="AS14" s="108"/>
      <c r="AT14" s="276">
        <f>84503645.2</f>
        <v>84503645.200000003</v>
      </c>
      <c r="AU14" s="265"/>
      <c r="AV14" s="265"/>
      <c r="AW14" s="265"/>
      <c r="AX14" s="265"/>
      <c r="AY14" s="268"/>
      <c r="AZ14" s="268"/>
      <c r="BA14" s="268"/>
      <c r="BB14" s="268"/>
      <c r="BC14" s="268"/>
      <c r="BD14" s="265"/>
      <c r="BE14" s="265"/>
      <c r="BF14" s="265"/>
      <c r="BG14" s="265"/>
      <c r="BH14" s="265"/>
      <c r="BI14" s="268"/>
      <c r="BJ14" s="270">
        <f t="shared" si="0"/>
        <v>84503645.200000003</v>
      </c>
      <c r="BK14" s="110" t="s">
        <v>323</v>
      </c>
    </row>
    <row r="15" spans="1:66" ht="345.75" thickBot="1">
      <c r="A15" s="126">
        <v>1</v>
      </c>
      <c r="B15" s="127" t="s">
        <v>6</v>
      </c>
      <c r="C15" s="128" t="s">
        <v>304</v>
      </c>
      <c r="D15" s="128" t="s">
        <v>305</v>
      </c>
      <c r="E15" s="129" t="s">
        <v>114</v>
      </c>
      <c r="F15" s="130" t="s">
        <v>306</v>
      </c>
      <c r="G15" s="129" t="s">
        <v>364</v>
      </c>
      <c r="H15" s="131" t="s">
        <v>374</v>
      </c>
      <c r="I15" s="131" t="s">
        <v>375</v>
      </c>
      <c r="J15" s="132">
        <v>4.3</v>
      </c>
      <c r="K15" s="132">
        <v>4.3</v>
      </c>
      <c r="L15" s="87" t="s">
        <v>376</v>
      </c>
      <c r="M15" s="87" t="s">
        <v>377</v>
      </c>
      <c r="N15" s="87">
        <v>33</v>
      </c>
      <c r="O15" s="88" t="s">
        <v>378</v>
      </c>
      <c r="P15" s="89" t="s">
        <v>379</v>
      </c>
      <c r="Q15" s="90" t="s">
        <v>11</v>
      </c>
      <c r="R15" s="91">
        <v>19</v>
      </c>
      <c r="S15" s="92" t="s">
        <v>19</v>
      </c>
      <c r="T15" s="93">
        <v>1905</v>
      </c>
      <c r="U15" s="92" t="s">
        <v>33</v>
      </c>
      <c r="V15" s="95">
        <v>1905031</v>
      </c>
      <c r="W15" s="92" t="s">
        <v>372</v>
      </c>
      <c r="X15" s="95">
        <v>190503100</v>
      </c>
      <c r="Y15" s="125" t="s">
        <v>34</v>
      </c>
      <c r="Z15" s="98" t="s">
        <v>316</v>
      </c>
      <c r="AA15" s="304" t="s">
        <v>380</v>
      </c>
      <c r="AB15" s="100" t="s">
        <v>341</v>
      </c>
      <c r="AC15" s="99" t="s">
        <v>342</v>
      </c>
      <c r="AD15" s="101" t="s">
        <v>319</v>
      </c>
      <c r="AE15" s="99" t="s">
        <v>320</v>
      </c>
      <c r="AF15" s="114">
        <v>0</v>
      </c>
      <c r="AG15" s="103">
        <v>1</v>
      </c>
      <c r="AH15" s="104">
        <v>1</v>
      </c>
      <c r="AI15" s="104">
        <v>1</v>
      </c>
      <c r="AJ15" s="104">
        <v>1</v>
      </c>
      <c r="AK15" s="105">
        <v>1</v>
      </c>
      <c r="AL15" s="119" t="s">
        <v>348</v>
      </c>
      <c r="AM15" s="120" t="s">
        <v>349</v>
      </c>
      <c r="AN15" s="108"/>
      <c r="AO15" s="108"/>
      <c r="AP15" s="108"/>
      <c r="AQ15" s="108"/>
      <c r="AR15" s="108"/>
      <c r="AS15" s="108"/>
      <c r="AT15" s="276">
        <f>35154477.696</f>
        <v>35154477.696000002</v>
      </c>
      <c r="AU15" s="265"/>
      <c r="AV15" s="265"/>
      <c r="AW15" s="265"/>
      <c r="AX15" s="265"/>
      <c r="AY15" s="268"/>
      <c r="AZ15" s="268"/>
      <c r="BA15" s="268"/>
      <c r="BB15" s="268"/>
      <c r="BC15" s="268"/>
      <c r="BD15" s="265"/>
      <c r="BE15" s="265"/>
      <c r="BF15" s="265"/>
      <c r="BG15" s="265"/>
      <c r="BH15" s="265"/>
      <c r="BI15" s="268"/>
      <c r="BJ15" s="270">
        <f t="shared" si="0"/>
        <v>35154477.696000002</v>
      </c>
      <c r="BK15" s="110" t="s">
        <v>323</v>
      </c>
    </row>
    <row r="16" spans="1:66" ht="409.6" thickTop="1" thickBot="1">
      <c r="A16" s="133">
        <v>1</v>
      </c>
      <c r="B16" s="134" t="s">
        <v>6</v>
      </c>
      <c r="C16" s="135" t="s">
        <v>304</v>
      </c>
      <c r="D16" s="135" t="s">
        <v>305</v>
      </c>
      <c r="E16" s="136" t="s">
        <v>114</v>
      </c>
      <c r="F16" s="137" t="s">
        <v>306</v>
      </c>
      <c r="G16" s="136" t="s">
        <v>381</v>
      </c>
      <c r="H16" s="138" t="s">
        <v>382</v>
      </c>
      <c r="I16" s="138" t="s">
        <v>383</v>
      </c>
      <c r="J16" s="113">
        <v>0</v>
      </c>
      <c r="K16" s="112">
        <v>1</v>
      </c>
      <c r="L16" s="87" t="s">
        <v>384</v>
      </c>
      <c r="M16" s="87" t="s">
        <v>385</v>
      </c>
      <c r="N16" s="87">
        <v>34</v>
      </c>
      <c r="O16" s="88" t="s">
        <v>386</v>
      </c>
      <c r="P16" s="89" t="s">
        <v>387</v>
      </c>
      <c r="Q16" s="90" t="s">
        <v>11</v>
      </c>
      <c r="R16" s="91">
        <v>19</v>
      </c>
      <c r="S16" s="92" t="s">
        <v>19</v>
      </c>
      <c r="T16" s="93">
        <v>1905</v>
      </c>
      <c r="U16" s="92" t="s">
        <v>36</v>
      </c>
      <c r="V16" s="95">
        <v>1905022</v>
      </c>
      <c r="W16" s="92" t="s">
        <v>388</v>
      </c>
      <c r="X16" s="93">
        <v>190502200</v>
      </c>
      <c r="Y16" s="125" t="s">
        <v>37</v>
      </c>
      <c r="Z16" s="98" t="s">
        <v>316</v>
      </c>
      <c r="AA16" s="304" t="s">
        <v>389</v>
      </c>
      <c r="AB16" s="100" t="s">
        <v>341</v>
      </c>
      <c r="AC16" s="99" t="s">
        <v>342</v>
      </c>
      <c r="AD16" s="101" t="s">
        <v>319</v>
      </c>
      <c r="AE16" s="99" t="s">
        <v>320</v>
      </c>
      <c r="AF16" s="114">
        <v>0</v>
      </c>
      <c r="AG16" s="103">
        <v>1</v>
      </c>
      <c r="AH16" s="104">
        <v>1</v>
      </c>
      <c r="AI16" s="104">
        <v>1</v>
      </c>
      <c r="AJ16" s="104">
        <v>1</v>
      </c>
      <c r="AK16" s="105">
        <v>1</v>
      </c>
      <c r="AL16" s="119" t="s">
        <v>348</v>
      </c>
      <c r="AM16" s="120" t="s">
        <v>349</v>
      </c>
      <c r="AN16" s="108"/>
      <c r="AO16" s="108"/>
      <c r="AP16" s="108"/>
      <c r="AQ16" s="108"/>
      <c r="AR16" s="108"/>
      <c r="AS16" s="108"/>
      <c r="AT16" s="276">
        <f>70798290.4</f>
        <v>70798290.400000006</v>
      </c>
      <c r="AU16" s="265"/>
      <c r="AV16" s="265"/>
      <c r="AW16" s="265"/>
      <c r="AX16" s="265"/>
      <c r="AY16" s="268"/>
      <c r="AZ16" s="268"/>
      <c r="BA16" s="268"/>
      <c r="BB16" s="268"/>
      <c r="BC16" s="268"/>
      <c r="BD16" s="265"/>
      <c r="BE16" s="265"/>
      <c r="BF16" s="265"/>
      <c r="BG16" s="265"/>
      <c r="BH16" s="265"/>
      <c r="BI16" s="268"/>
      <c r="BJ16" s="270">
        <f t="shared" si="0"/>
        <v>70798290.400000006</v>
      </c>
      <c r="BK16" s="110" t="s">
        <v>323</v>
      </c>
    </row>
    <row r="17" spans="1:65" ht="409.6" thickTop="1" thickBot="1">
      <c r="A17" s="133">
        <v>1</v>
      </c>
      <c r="B17" s="134" t="s">
        <v>6</v>
      </c>
      <c r="C17" s="135" t="s">
        <v>304</v>
      </c>
      <c r="D17" s="135" t="s">
        <v>305</v>
      </c>
      <c r="E17" s="136" t="s">
        <v>114</v>
      </c>
      <c r="F17" s="137" t="s">
        <v>306</v>
      </c>
      <c r="G17" s="136" t="s">
        <v>381</v>
      </c>
      <c r="H17" s="138" t="s">
        <v>390</v>
      </c>
      <c r="I17" s="138" t="s">
        <v>391</v>
      </c>
      <c r="J17" s="113">
        <v>22.1</v>
      </c>
      <c r="K17" s="113">
        <v>22.1</v>
      </c>
      <c r="L17" s="86" t="s">
        <v>392</v>
      </c>
      <c r="M17" s="682" t="s">
        <v>393</v>
      </c>
      <c r="N17" s="87">
        <v>35</v>
      </c>
      <c r="O17" s="88" t="s">
        <v>394</v>
      </c>
      <c r="P17" s="89" t="s">
        <v>395</v>
      </c>
      <c r="Q17" s="90" t="s">
        <v>11</v>
      </c>
      <c r="R17" s="91">
        <v>19</v>
      </c>
      <c r="S17" s="92" t="s">
        <v>19</v>
      </c>
      <c r="T17" s="93">
        <v>1905</v>
      </c>
      <c r="U17" s="92" t="s">
        <v>36</v>
      </c>
      <c r="V17" s="95">
        <v>1905022</v>
      </c>
      <c r="W17" s="92" t="s">
        <v>388</v>
      </c>
      <c r="X17" s="93">
        <v>190502200</v>
      </c>
      <c r="Y17" s="125" t="s">
        <v>37</v>
      </c>
      <c r="Z17" s="98" t="s">
        <v>316</v>
      </c>
      <c r="AA17" s="304" t="s">
        <v>396</v>
      </c>
      <c r="AB17" s="100" t="s">
        <v>341</v>
      </c>
      <c r="AC17" s="99" t="s">
        <v>342</v>
      </c>
      <c r="AD17" s="101" t="s">
        <v>319</v>
      </c>
      <c r="AE17" s="99" t="s">
        <v>320</v>
      </c>
      <c r="AF17" s="114">
        <v>0</v>
      </c>
      <c r="AG17" s="103">
        <v>1</v>
      </c>
      <c r="AH17" s="104">
        <v>1</v>
      </c>
      <c r="AI17" s="104">
        <v>1</v>
      </c>
      <c r="AJ17" s="104">
        <v>1</v>
      </c>
      <c r="AK17" s="105">
        <v>1</v>
      </c>
      <c r="AL17" s="119" t="s">
        <v>348</v>
      </c>
      <c r="AM17" s="120" t="s">
        <v>349</v>
      </c>
      <c r="AN17" s="108"/>
      <c r="AO17" s="108"/>
      <c r="AP17" s="108"/>
      <c r="AQ17" s="108"/>
      <c r="AR17" s="108"/>
      <c r="AS17" s="108"/>
      <c r="AT17" s="276">
        <f>85434897.6</f>
        <v>85434897.599999994</v>
      </c>
      <c r="AU17" s="265"/>
      <c r="AV17" s="265"/>
      <c r="AW17" s="265"/>
      <c r="AX17" s="265"/>
      <c r="AY17" s="268"/>
      <c r="AZ17" s="268"/>
      <c r="BA17" s="268"/>
      <c r="BB17" s="268"/>
      <c r="BC17" s="268"/>
      <c r="BD17" s="265"/>
      <c r="BE17" s="265"/>
      <c r="BF17" s="265"/>
      <c r="BG17" s="265"/>
      <c r="BH17" s="265"/>
      <c r="BI17" s="268"/>
      <c r="BJ17" s="270">
        <f t="shared" si="0"/>
        <v>85434897.599999994</v>
      </c>
      <c r="BK17" s="110" t="s">
        <v>323</v>
      </c>
    </row>
    <row r="18" spans="1:65" ht="346.5" thickTop="1" thickBot="1">
      <c r="A18" s="133">
        <v>1</v>
      </c>
      <c r="B18" s="134" t="s">
        <v>6</v>
      </c>
      <c r="C18" s="135" t="s">
        <v>304</v>
      </c>
      <c r="D18" s="135" t="s">
        <v>305</v>
      </c>
      <c r="E18" s="136" t="s">
        <v>114</v>
      </c>
      <c r="F18" s="137" t="s">
        <v>306</v>
      </c>
      <c r="G18" s="136" t="s">
        <v>381</v>
      </c>
      <c r="H18" s="138" t="s">
        <v>397</v>
      </c>
      <c r="I18" s="138" t="s">
        <v>398</v>
      </c>
      <c r="J18" s="113">
        <v>121.36</v>
      </c>
      <c r="K18" s="113">
        <v>121.36</v>
      </c>
      <c r="L18" s="86" t="s">
        <v>392</v>
      </c>
      <c r="M18" s="682"/>
      <c r="N18" s="87">
        <v>36</v>
      </c>
      <c r="O18" s="88" t="s">
        <v>399</v>
      </c>
      <c r="P18" s="89" t="s">
        <v>400</v>
      </c>
      <c r="Q18" s="90" t="s">
        <v>11</v>
      </c>
      <c r="R18" s="91">
        <v>19</v>
      </c>
      <c r="S18" s="92" t="s">
        <v>19</v>
      </c>
      <c r="T18" s="93">
        <v>1905</v>
      </c>
      <c r="U18" s="94" t="s">
        <v>36</v>
      </c>
      <c r="V18" s="95">
        <v>1905022</v>
      </c>
      <c r="W18" s="111" t="s">
        <v>388</v>
      </c>
      <c r="X18" s="95">
        <v>190502200</v>
      </c>
      <c r="Y18" s="111" t="s">
        <v>37</v>
      </c>
      <c r="Z18" s="139" t="s">
        <v>316</v>
      </c>
      <c r="AA18" s="304" t="s">
        <v>401</v>
      </c>
      <c r="AB18" s="100" t="s">
        <v>341</v>
      </c>
      <c r="AC18" s="99" t="s">
        <v>342</v>
      </c>
      <c r="AD18" s="101" t="s">
        <v>319</v>
      </c>
      <c r="AE18" s="99" t="s">
        <v>320</v>
      </c>
      <c r="AF18" s="114">
        <v>0</v>
      </c>
      <c r="AG18" s="103">
        <v>1</v>
      </c>
      <c r="AH18" s="104">
        <v>1</v>
      </c>
      <c r="AI18" s="104">
        <v>1</v>
      </c>
      <c r="AJ18" s="104">
        <v>1</v>
      </c>
      <c r="AK18" s="105">
        <v>1</v>
      </c>
      <c r="AL18" s="119" t="s">
        <v>348</v>
      </c>
      <c r="AM18" s="120" t="s">
        <v>349</v>
      </c>
      <c r="AN18" s="108"/>
      <c r="AO18" s="108"/>
      <c r="AP18" s="108"/>
      <c r="AQ18" s="108"/>
      <c r="AR18" s="108"/>
      <c r="AS18" s="108"/>
      <c r="AT18" s="273"/>
      <c r="AU18" s="265"/>
      <c r="AV18" s="265"/>
      <c r="AW18" s="265"/>
      <c r="AX18" s="265"/>
      <c r="AY18" s="268"/>
      <c r="AZ18" s="268"/>
      <c r="BA18" s="268"/>
      <c r="BB18" s="268"/>
      <c r="BC18" s="268"/>
      <c r="BD18" s="265"/>
      <c r="BE18" s="265"/>
      <c r="BF18" s="265"/>
      <c r="BG18" s="265"/>
      <c r="BH18" s="265"/>
      <c r="BI18" s="268"/>
      <c r="BJ18" s="270">
        <f t="shared" si="0"/>
        <v>0</v>
      </c>
      <c r="BK18" s="110" t="s">
        <v>323</v>
      </c>
    </row>
    <row r="19" spans="1:65" ht="346.5" thickTop="1" thickBot="1">
      <c r="A19" s="133">
        <v>1</v>
      </c>
      <c r="B19" s="134" t="s">
        <v>6</v>
      </c>
      <c r="C19" s="135" t="s">
        <v>304</v>
      </c>
      <c r="D19" s="135" t="s">
        <v>305</v>
      </c>
      <c r="E19" s="136" t="s">
        <v>114</v>
      </c>
      <c r="F19" s="137" t="s">
        <v>306</v>
      </c>
      <c r="G19" s="136" t="s">
        <v>402</v>
      </c>
      <c r="H19" s="138" t="s">
        <v>403</v>
      </c>
      <c r="I19" s="138" t="s">
        <v>404</v>
      </c>
      <c r="J19" s="113">
        <v>19</v>
      </c>
      <c r="K19" s="113">
        <v>19</v>
      </c>
      <c r="L19" s="87" t="s">
        <v>405</v>
      </c>
      <c r="M19" s="87" t="s">
        <v>406</v>
      </c>
      <c r="N19" s="87">
        <v>37</v>
      </c>
      <c r="O19" s="88" t="s">
        <v>407</v>
      </c>
      <c r="P19" s="89" t="s">
        <v>408</v>
      </c>
      <c r="Q19" s="90" t="s">
        <v>11</v>
      </c>
      <c r="R19" s="91">
        <v>19</v>
      </c>
      <c r="S19" s="92" t="s">
        <v>19</v>
      </c>
      <c r="T19" s="93">
        <v>1905</v>
      </c>
      <c r="U19" s="94" t="s">
        <v>39</v>
      </c>
      <c r="V19" s="95">
        <v>1905028</v>
      </c>
      <c r="W19" s="111" t="s">
        <v>409</v>
      </c>
      <c r="X19" s="95">
        <v>190502801</v>
      </c>
      <c r="Y19" s="97" t="s">
        <v>40</v>
      </c>
      <c r="Z19" s="98" t="s">
        <v>316</v>
      </c>
      <c r="AA19" s="304" t="s">
        <v>410</v>
      </c>
      <c r="AB19" s="100" t="s">
        <v>341</v>
      </c>
      <c r="AC19" s="99" t="s">
        <v>342</v>
      </c>
      <c r="AD19" s="101" t="s">
        <v>319</v>
      </c>
      <c r="AE19" s="99" t="s">
        <v>320</v>
      </c>
      <c r="AF19" s="114">
        <v>0</v>
      </c>
      <c r="AG19" s="103">
        <v>1</v>
      </c>
      <c r="AH19" s="104">
        <v>1</v>
      </c>
      <c r="AI19" s="104">
        <v>1</v>
      </c>
      <c r="AJ19" s="104">
        <v>1</v>
      </c>
      <c r="AK19" s="105">
        <v>1</v>
      </c>
      <c r="AL19" s="119" t="s">
        <v>348</v>
      </c>
      <c r="AM19" s="120" t="s">
        <v>349</v>
      </c>
      <c r="AN19" s="108"/>
      <c r="AO19" s="108"/>
      <c r="AP19" s="108"/>
      <c r="AQ19" s="108"/>
      <c r="AR19" s="108"/>
      <c r="AS19" s="108"/>
      <c r="AT19" s="276">
        <f>2748382.3312</f>
        <v>2748382.3311999999</v>
      </c>
      <c r="AU19" s="265"/>
      <c r="AV19" s="265"/>
      <c r="AW19" s="265"/>
      <c r="AX19" s="265"/>
      <c r="AY19" s="268"/>
      <c r="AZ19" s="268"/>
      <c r="BA19" s="268"/>
      <c r="BB19" s="268"/>
      <c r="BC19" s="268"/>
      <c r="BD19" s="265"/>
      <c r="BE19" s="265"/>
      <c r="BF19" s="265"/>
      <c r="BG19" s="265"/>
      <c r="BH19" s="265"/>
      <c r="BI19" s="268"/>
      <c r="BJ19" s="270">
        <f t="shared" si="0"/>
        <v>2748382.3311999999</v>
      </c>
      <c r="BK19" s="110" t="s">
        <v>323</v>
      </c>
    </row>
    <row r="20" spans="1:65" ht="346.5" thickTop="1" thickBot="1">
      <c r="A20" s="133">
        <v>1</v>
      </c>
      <c r="B20" s="134" t="s">
        <v>6</v>
      </c>
      <c r="C20" s="135" t="s">
        <v>304</v>
      </c>
      <c r="D20" s="135" t="s">
        <v>305</v>
      </c>
      <c r="E20" s="136" t="s">
        <v>114</v>
      </c>
      <c r="F20" s="137" t="s">
        <v>306</v>
      </c>
      <c r="G20" s="136" t="s">
        <v>402</v>
      </c>
      <c r="H20" s="138" t="s">
        <v>411</v>
      </c>
      <c r="I20" s="138" t="s">
        <v>412</v>
      </c>
      <c r="J20" s="113">
        <v>6.13</v>
      </c>
      <c r="K20" s="113">
        <v>6.13</v>
      </c>
      <c r="L20" s="87" t="s">
        <v>413</v>
      </c>
      <c r="M20" s="87" t="s">
        <v>414</v>
      </c>
      <c r="N20" s="87">
        <v>38</v>
      </c>
      <c r="O20" s="88" t="s">
        <v>415</v>
      </c>
      <c r="P20" s="89" t="s">
        <v>416</v>
      </c>
      <c r="Q20" s="90" t="s">
        <v>11</v>
      </c>
      <c r="R20" s="91">
        <v>19</v>
      </c>
      <c r="S20" s="92" t="s">
        <v>19</v>
      </c>
      <c r="T20" s="93">
        <v>1905</v>
      </c>
      <c r="U20" s="94" t="s">
        <v>39</v>
      </c>
      <c r="V20" s="95">
        <v>1905028</v>
      </c>
      <c r="W20" s="111" t="s">
        <v>409</v>
      </c>
      <c r="X20" s="95">
        <v>190502800</v>
      </c>
      <c r="Y20" s="97" t="s">
        <v>42</v>
      </c>
      <c r="Z20" s="98" t="s">
        <v>316</v>
      </c>
      <c r="AA20" s="304" t="s">
        <v>417</v>
      </c>
      <c r="AB20" s="100" t="s">
        <v>341</v>
      </c>
      <c r="AC20" s="99" t="s">
        <v>342</v>
      </c>
      <c r="AD20" s="101" t="s">
        <v>319</v>
      </c>
      <c r="AE20" s="99" t="s">
        <v>320</v>
      </c>
      <c r="AF20" s="114">
        <v>0</v>
      </c>
      <c r="AG20" s="103">
        <v>1</v>
      </c>
      <c r="AH20" s="104">
        <v>1</v>
      </c>
      <c r="AI20" s="104">
        <v>1</v>
      </c>
      <c r="AJ20" s="104">
        <v>1</v>
      </c>
      <c r="AK20" s="105">
        <v>1</v>
      </c>
      <c r="AL20" s="119" t="s">
        <v>348</v>
      </c>
      <c r="AM20" s="120" t="s">
        <v>349</v>
      </c>
      <c r="AN20" s="108"/>
      <c r="AO20" s="108"/>
      <c r="AP20" s="108"/>
      <c r="AQ20" s="108"/>
      <c r="AR20" s="108"/>
      <c r="AS20" s="108"/>
      <c r="AT20" s="276">
        <f>7073913.392</f>
        <v>7073913.392</v>
      </c>
      <c r="AU20" s="265"/>
      <c r="AV20" s="265"/>
      <c r="AW20" s="265"/>
      <c r="AX20" s="265"/>
      <c r="AY20" s="268"/>
      <c r="AZ20" s="268"/>
      <c r="BA20" s="268"/>
      <c r="BB20" s="268"/>
      <c r="BC20" s="268"/>
      <c r="BD20" s="265"/>
      <c r="BE20" s="265"/>
      <c r="BF20" s="265"/>
      <c r="BG20" s="265"/>
      <c r="BH20" s="265"/>
      <c r="BI20" s="268"/>
      <c r="BJ20" s="270">
        <f t="shared" si="0"/>
        <v>7073913.392</v>
      </c>
      <c r="BK20" s="110" t="s">
        <v>323</v>
      </c>
    </row>
    <row r="21" spans="1:65" ht="409.6" thickTop="1" thickBot="1">
      <c r="A21" s="133">
        <v>1</v>
      </c>
      <c r="B21" s="134" t="s">
        <v>6</v>
      </c>
      <c r="C21" s="135" t="s">
        <v>304</v>
      </c>
      <c r="D21" s="135" t="s">
        <v>305</v>
      </c>
      <c r="E21" s="136" t="s">
        <v>114</v>
      </c>
      <c r="F21" s="137" t="s">
        <v>306</v>
      </c>
      <c r="G21" s="136" t="s">
        <v>418</v>
      </c>
      <c r="H21" s="138" t="s">
        <v>419</v>
      </c>
      <c r="I21" s="138" t="s">
        <v>420</v>
      </c>
      <c r="J21" s="113" t="s">
        <v>421</v>
      </c>
      <c r="K21" s="113" t="s">
        <v>421</v>
      </c>
      <c r="L21" s="86" t="s">
        <v>422</v>
      </c>
      <c r="M21" s="682" t="s">
        <v>423</v>
      </c>
      <c r="N21" s="679">
        <v>39</v>
      </c>
      <c r="O21" s="706" t="s">
        <v>424</v>
      </c>
      <c r="P21" s="673" t="s">
        <v>425</v>
      </c>
      <c r="Q21" s="90" t="s">
        <v>11</v>
      </c>
      <c r="R21" s="91">
        <v>19</v>
      </c>
      <c r="S21" s="92" t="s">
        <v>19</v>
      </c>
      <c r="T21" s="93">
        <v>1905</v>
      </c>
      <c r="U21" s="92" t="s">
        <v>44</v>
      </c>
      <c r="V21" s="93">
        <v>1905021</v>
      </c>
      <c r="W21" s="92" t="s">
        <v>426</v>
      </c>
      <c r="X21" s="93">
        <v>190502100</v>
      </c>
      <c r="Y21" s="125" t="s">
        <v>45</v>
      </c>
      <c r="Z21" s="98" t="s">
        <v>316</v>
      </c>
      <c r="AA21" s="304" t="s">
        <v>427</v>
      </c>
      <c r="AB21" s="100" t="s">
        <v>341</v>
      </c>
      <c r="AC21" s="99" t="s">
        <v>342</v>
      </c>
      <c r="AD21" s="101" t="s">
        <v>319</v>
      </c>
      <c r="AE21" s="99" t="s">
        <v>320</v>
      </c>
      <c r="AF21" s="114">
        <v>0</v>
      </c>
      <c r="AG21" s="103">
        <v>1</v>
      </c>
      <c r="AH21" s="104">
        <v>1</v>
      </c>
      <c r="AI21" s="104">
        <v>1</v>
      </c>
      <c r="AJ21" s="104">
        <v>1</v>
      </c>
      <c r="AK21" s="105">
        <v>1</v>
      </c>
      <c r="AL21" s="119" t="s">
        <v>348</v>
      </c>
      <c r="AM21" s="120" t="s">
        <v>349</v>
      </c>
      <c r="AN21" s="140"/>
      <c r="AO21" s="141"/>
      <c r="AP21" s="142"/>
      <c r="AQ21" s="142"/>
      <c r="AR21" s="142"/>
      <c r="AS21" s="142"/>
      <c r="AT21" s="277">
        <f>122138576.5455</f>
        <v>122138576.5455</v>
      </c>
      <c r="AU21" s="278"/>
      <c r="AV21" s="278"/>
      <c r="AW21" s="278"/>
      <c r="AX21" s="278"/>
      <c r="AY21" s="279"/>
      <c r="AZ21" s="278"/>
      <c r="BA21" s="278"/>
      <c r="BB21" s="278"/>
      <c r="BC21" s="278"/>
      <c r="BD21" s="278"/>
      <c r="BE21" s="278"/>
      <c r="BF21" s="278"/>
      <c r="BG21" s="278"/>
      <c r="BH21" s="278"/>
      <c r="BJ21" s="270">
        <f t="shared" si="0"/>
        <v>122138576.5455</v>
      </c>
      <c r="BK21" s="110" t="s">
        <v>323</v>
      </c>
    </row>
    <row r="22" spans="1:65" ht="346.5" thickTop="1" thickBot="1">
      <c r="A22" s="133">
        <v>1</v>
      </c>
      <c r="B22" s="134" t="s">
        <v>6</v>
      </c>
      <c r="C22" s="135" t="s">
        <v>304</v>
      </c>
      <c r="D22" s="135" t="s">
        <v>305</v>
      </c>
      <c r="E22" s="136" t="s">
        <v>114</v>
      </c>
      <c r="F22" s="137" t="s">
        <v>306</v>
      </c>
      <c r="G22" s="136" t="s">
        <v>418</v>
      </c>
      <c r="H22" s="138" t="s">
        <v>428</v>
      </c>
      <c r="I22" s="138" t="s">
        <v>429</v>
      </c>
      <c r="J22" s="113">
        <v>235.66</v>
      </c>
      <c r="K22" s="113">
        <v>235.66</v>
      </c>
      <c r="L22" s="86" t="s">
        <v>422</v>
      </c>
      <c r="M22" s="682"/>
      <c r="N22" s="680"/>
      <c r="O22" s="706"/>
      <c r="P22" s="673"/>
      <c r="Q22" s="90" t="s">
        <v>11</v>
      </c>
      <c r="R22" s="143"/>
      <c r="S22" s="89"/>
      <c r="T22" s="87"/>
      <c r="U22" s="144"/>
      <c r="V22" s="87"/>
      <c r="W22" s="144"/>
      <c r="X22" s="87"/>
      <c r="Y22" s="89"/>
      <c r="Z22" s="89"/>
      <c r="AA22" s="305"/>
      <c r="AB22" s="89"/>
      <c r="AC22" s="89"/>
      <c r="AD22" s="89"/>
      <c r="AE22" s="89"/>
      <c r="AF22" s="114">
        <v>0</v>
      </c>
      <c r="AG22" s="103">
        <v>1</v>
      </c>
      <c r="AH22" s="104">
        <v>1</v>
      </c>
      <c r="AI22" s="104">
        <v>1</v>
      </c>
      <c r="AJ22" s="104">
        <v>1</v>
      </c>
      <c r="AK22" s="105">
        <v>1</v>
      </c>
      <c r="AL22" s="119" t="s">
        <v>348</v>
      </c>
      <c r="AM22" s="120" t="s">
        <v>349</v>
      </c>
      <c r="AN22" s="140"/>
      <c r="AO22" s="141"/>
      <c r="AP22" s="142"/>
      <c r="AQ22" s="142"/>
      <c r="AR22" s="142"/>
      <c r="AS22" s="142"/>
      <c r="AT22" s="281"/>
      <c r="AU22" s="278"/>
      <c r="AV22" s="278"/>
      <c r="AW22" s="278"/>
      <c r="AX22" s="278"/>
      <c r="AY22" s="279"/>
      <c r="AZ22" s="278"/>
      <c r="BA22" s="278"/>
      <c r="BB22" s="278"/>
      <c r="BC22" s="278"/>
      <c r="BD22" s="278"/>
      <c r="BE22" s="278"/>
      <c r="BF22" s="278"/>
      <c r="BG22" s="278"/>
      <c r="BH22" s="278"/>
      <c r="BI22" s="278"/>
      <c r="BJ22" s="270">
        <f t="shared" si="0"/>
        <v>0</v>
      </c>
      <c r="BK22" s="146" t="s">
        <v>323</v>
      </c>
    </row>
    <row r="23" spans="1:65" ht="346.5" thickTop="1" thickBot="1">
      <c r="A23" s="133">
        <v>1</v>
      </c>
      <c r="B23" s="134" t="s">
        <v>6</v>
      </c>
      <c r="C23" s="135" t="s">
        <v>304</v>
      </c>
      <c r="D23" s="135" t="s">
        <v>305</v>
      </c>
      <c r="E23" s="136" t="s">
        <v>114</v>
      </c>
      <c r="F23" s="137" t="s">
        <v>306</v>
      </c>
      <c r="G23" s="136" t="s">
        <v>418</v>
      </c>
      <c r="H23" s="138" t="s">
        <v>430</v>
      </c>
      <c r="I23" s="138" t="s">
        <v>431</v>
      </c>
      <c r="J23" s="113">
        <v>150</v>
      </c>
      <c r="K23" s="113">
        <v>150</v>
      </c>
      <c r="L23" s="86" t="s">
        <v>432</v>
      </c>
      <c r="M23" s="679" t="s">
        <v>433</v>
      </c>
      <c r="N23" s="87">
        <v>40</v>
      </c>
      <c r="O23" s="88" t="s">
        <v>434</v>
      </c>
      <c r="P23" s="89" t="s">
        <v>435</v>
      </c>
      <c r="Q23" s="90" t="s">
        <v>11</v>
      </c>
      <c r="R23" s="91">
        <v>19</v>
      </c>
      <c r="S23" s="92" t="s">
        <v>19</v>
      </c>
      <c r="T23" s="93">
        <v>1905</v>
      </c>
      <c r="U23" s="92" t="s">
        <v>44</v>
      </c>
      <c r="V23" s="93">
        <v>1905021</v>
      </c>
      <c r="W23" s="92" t="s">
        <v>426</v>
      </c>
      <c r="X23" s="93">
        <v>190502100</v>
      </c>
      <c r="Y23" s="125" t="s">
        <v>45</v>
      </c>
      <c r="Z23" s="98" t="s">
        <v>316</v>
      </c>
      <c r="AA23" s="304" t="s">
        <v>436</v>
      </c>
      <c r="AB23" s="100" t="s">
        <v>341</v>
      </c>
      <c r="AC23" s="99" t="s">
        <v>342</v>
      </c>
      <c r="AD23" s="101" t="s">
        <v>319</v>
      </c>
      <c r="AE23" s="99" t="s">
        <v>320</v>
      </c>
      <c r="AF23" s="147">
        <v>0</v>
      </c>
      <c r="AG23" s="103">
        <v>1</v>
      </c>
      <c r="AH23" s="104">
        <v>1</v>
      </c>
      <c r="AI23" s="104">
        <v>1</v>
      </c>
      <c r="AJ23" s="104">
        <v>1</v>
      </c>
      <c r="AK23" s="105">
        <v>1</v>
      </c>
      <c r="AL23" s="119" t="s">
        <v>348</v>
      </c>
      <c r="AM23" s="120" t="s">
        <v>349</v>
      </c>
      <c r="AN23" s="108"/>
      <c r="AO23" s="108"/>
      <c r="AP23" s="108"/>
      <c r="AQ23" s="108"/>
      <c r="AR23" s="108"/>
      <c r="AS23" s="108"/>
      <c r="AT23" s="277">
        <f>11154961.8128</f>
        <v>11154961.812799999</v>
      </c>
      <c r="AU23" s="265"/>
      <c r="AV23" s="265"/>
      <c r="AW23" s="265"/>
      <c r="AX23" s="265"/>
      <c r="AY23" s="273"/>
      <c r="AZ23" s="268"/>
      <c r="BA23" s="268"/>
      <c r="BB23" s="268"/>
      <c r="BC23" s="268"/>
      <c r="BD23" s="265"/>
      <c r="BE23" s="265"/>
      <c r="BF23" s="265"/>
      <c r="BG23" s="265"/>
      <c r="BH23" s="265"/>
      <c r="BI23" s="268"/>
      <c r="BJ23" s="270">
        <f t="shared" si="0"/>
        <v>11154961.812799999</v>
      </c>
      <c r="BK23" s="110" t="s">
        <v>323</v>
      </c>
    </row>
    <row r="24" spans="1:65" ht="346.5" thickTop="1" thickBot="1">
      <c r="A24" s="133">
        <v>1</v>
      </c>
      <c r="B24" s="134" t="s">
        <v>6</v>
      </c>
      <c r="C24" s="135" t="s">
        <v>304</v>
      </c>
      <c r="D24" s="135" t="s">
        <v>305</v>
      </c>
      <c r="E24" s="136" t="s">
        <v>114</v>
      </c>
      <c r="F24" s="137" t="s">
        <v>306</v>
      </c>
      <c r="G24" s="136" t="s">
        <v>418</v>
      </c>
      <c r="H24" s="138" t="s">
        <v>437</v>
      </c>
      <c r="I24" s="138" t="s">
        <v>438</v>
      </c>
      <c r="J24" s="113">
        <v>7.33</v>
      </c>
      <c r="K24" s="113">
        <v>7.33</v>
      </c>
      <c r="L24" s="86" t="s">
        <v>432</v>
      </c>
      <c r="M24" s="680"/>
      <c r="N24" s="87">
        <v>41</v>
      </c>
      <c r="O24" s="88" t="s">
        <v>439</v>
      </c>
      <c r="P24" s="88" t="s">
        <v>440</v>
      </c>
      <c r="Q24" s="90" t="s">
        <v>11</v>
      </c>
      <c r="R24" s="91">
        <v>19</v>
      </c>
      <c r="S24" s="148" t="s">
        <v>19</v>
      </c>
      <c r="T24" s="149">
        <v>1905</v>
      </c>
      <c r="U24" s="94" t="s">
        <v>44</v>
      </c>
      <c r="V24" s="95">
        <v>1905021</v>
      </c>
      <c r="W24" s="111" t="s">
        <v>426</v>
      </c>
      <c r="X24" s="95">
        <v>190502100</v>
      </c>
      <c r="Y24" s="97" t="s">
        <v>45</v>
      </c>
      <c r="Z24" s="98" t="s">
        <v>316</v>
      </c>
      <c r="AA24" s="304" t="s">
        <v>441</v>
      </c>
      <c r="AB24" s="100" t="s">
        <v>341</v>
      </c>
      <c r="AC24" s="99" t="s">
        <v>342</v>
      </c>
      <c r="AD24" s="101" t="s">
        <v>319</v>
      </c>
      <c r="AE24" s="99" t="s">
        <v>320</v>
      </c>
      <c r="AF24" s="147">
        <v>0</v>
      </c>
      <c r="AG24" s="103">
        <v>1</v>
      </c>
      <c r="AH24" s="104">
        <v>1</v>
      </c>
      <c r="AI24" s="104">
        <v>1</v>
      </c>
      <c r="AJ24" s="104">
        <v>1</v>
      </c>
      <c r="AK24" s="105">
        <v>1</v>
      </c>
      <c r="AL24" s="119" t="s">
        <v>348</v>
      </c>
      <c r="AM24" s="120" t="s">
        <v>349</v>
      </c>
      <c r="AN24" s="108"/>
      <c r="AO24" s="108"/>
      <c r="AP24" s="150"/>
      <c r="AQ24" s="108"/>
      <c r="AR24" s="108"/>
      <c r="AS24" s="108"/>
      <c r="AT24" s="276">
        <f>8891958.4</f>
        <v>8891958.4000000004</v>
      </c>
      <c r="AU24" s="265"/>
      <c r="AV24" s="265"/>
      <c r="AW24" s="265"/>
      <c r="AX24" s="265"/>
      <c r="AY24" s="273"/>
      <c r="AZ24" s="268"/>
      <c r="BA24" s="268"/>
      <c r="BB24" s="268"/>
      <c r="BC24" s="268"/>
      <c r="BD24" s="265"/>
      <c r="BE24" s="265"/>
      <c r="BF24" s="265"/>
      <c r="BG24" s="265"/>
      <c r="BH24" s="265"/>
      <c r="BI24" s="268"/>
      <c r="BJ24" s="270">
        <f t="shared" si="0"/>
        <v>8891958.4000000004</v>
      </c>
      <c r="BK24" s="110" t="s">
        <v>323</v>
      </c>
    </row>
    <row r="25" spans="1:65" s="145" customFormat="1" ht="409.6" thickTop="1" thickBot="1">
      <c r="A25" s="151">
        <v>1</v>
      </c>
      <c r="B25" s="134" t="s">
        <v>6</v>
      </c>
      <c r="C25" s="152" t="s">
        <v>304</v>
      </c>
      <c r="D25" s="152" t="s">
        <v>305</v>
      </c>
      <c r="E25" s="153" t="s">
        <v>114</v>
      </c>
      <c r="F25" s="154" t="s">
        <v>306</v>
      </c>
      <c r="G25" s="153" t="s">
        <v>442</v>
      </c>
      <c r="H25" s="155" t="s">
        <v>443</v>
      </c>
      <c r="I25" s="155" t="s">
        <v>444</v>
      </c>
      <c r="J25" s="156" t="s">
        <v>445</v>
      </c>
      <c r="K25" s="157">
        <v>0.95</v>
      </c>
      <c r="L25" s="93" t="s">
        <v>446</v>
      </c>
      <c r="M25" s="93" t="s">
        <v>447</v>
      </c>
      <c r="N25" s="87">
        <v>42</v>
      </c>
      <c r="O25" s="158" t="s">
        <v>448</v>
      </c>
      <c r="P25" s="125" t="s">
        <v>449</v>
      </c>
      <c r="Q25" s="90" t="s">
        <v>11</v>
      </c>
      <c r="R25" s="91">
        <v>19</v>
      </c>
      <c r="S25" s="148" t="s">
        <v>19</v>
      </c>
      <c r="T25" s="149">
        <v>1905</v>
      </c>
      <c r="U25" s="92" t="s">
        <v>47</v>
      </c>
      <c r="V25" s="93">
        <v>1905026</v>
      </c>
      <c r="W25" s="92" t="s">
        <v>450</v>
      </c>
      <c r="X25" s="93">
        <v>190502600</v>
      </c>
      <c r="Y25" s="125" t="s">
        <v>48</v>
      </c>
      <c r="Z25" s="98" t="s">
        <v>316</v>
      </c>
      <c r="AA25" s="304" t="s">
        <v>451</v>
      </c>
      <c r="AB25" s="100" t="s">
        <v>341</v>
      </c>
      <c r="AC25" s="99" t="s">
        <v>342</v>
      </c>
      <c r="AD25" s="101" t="s">
        <v>319</v>
      </c>
      <c r="AE25" s="99" t="s">
        <v>320</v>
      </c>
      <c r="AF25" s="147">
        <v>0</v>
      </c>
      <c r="AG25" s="159">
        <v>1</v>
      </c>
      <c r="AH25" s="160">
        <v>1</v>
      </c>
      <c r="AI25" s="160">
        <v>1</v>
      </c>
      <c r="AJ25" s="160">
        <v>1</v>
      </c>
      <c r="AK25" s="161">
        <v>1</v>
      </c>
      <c r="AL25" s="162" t="s">
        <v>452</v>
      </c>
      <c r="AM25" s="107" t="s">
        <v>453</v>
      </c>
      <c r="AN25" s="108"/>
      <c r="AO25" s="108"/>
      <c r="AP25" s="108"/>
      <c r="AQ25" s="108"/>
      <c r="AR25" s="108"/>
      <c r="AS25" s="108"/>
      <c r="AT25" s="276">
        <f>73253093.88</f>
        <v>73253093.879999995</v>
      </c>
      <c r="AU25" s="265"/>
      <c r="AV25" s="265"/>
      <c r="AW25" s="265"/>
      <c r="AX25" s="265"/>
      <c r="AY25" s="273"/>
      <c r="AZ25" s="268"/>
      <c r="BA25" s="268"/>
      <c r="BB25" s="268"/>
      <c r="BC25" s="268"/>
      <c r="BD25" s="265"/>
      <c r="BE25" s="265"/>
      <c r="BF25" s="265"/>
      <c r="BG25" s="273"/>
      <c r="BH25" s="265"/>
      <c r="BI25" s="268"/>
      <c r="BJ25" s="270">
        <f t="shared" si="0"/>
        <v>73253093.879999995</v>
      </c>
      <c r="BK25" s="110" t="s">
        <v>323</v>
      </c>
      <c r="BM25" s="281"/>
    </row>
    <row r="26" spans="1:65" ht="379.5" thickTop="1" thickBot="1">
      <c r="A26" s="133">
        <v>1</v>
      </c>
      <c r="B26" s="134" t="s">
        <v>6</v>
      </c>
      <c r="C26" s="135" t="s">
        <v>304</v>
      </c>
      <c r="D26" s="135" t="s">
        <v>305</v>
      </c>
      <c r="E26" s="136" t="s">
        <v>114</v>
      </c>
      <c r="F26" s="137" t="s">
        <v>306</v>
      </c>
      <c r="G26" s="136" t="s">
        <v>442</v>
      </c>
      <c r="H26" s="138" t="s">
        <v>454</v>
      </c>
      <c r="I26" s="138" t="s">
        <v>455</v>
      </c>
      <c r="J26" s="113" t="s">
        <v>456</v>
      </c>
      <c r="K26" s="113">
        <v>10.25</v>
      </c>
      <c r="L26" s="86" t="s">
        <v>457</v>
      </c>
      <c r="M26" s="682" t="s">
        <v>458</v>
      </c>
      <c r="N26" s="87">
        <v>43</v>
      </c>
      <c r="O26" s="88" t="s">
        <v>459</v>
      </c>
      <c r="P26" s="89" t="s">
        <v>460</v>
      </c>
      <c r="Q26" s="90" t="s">
        <v>11</v>
      </c>
      <c r="R26" s="91">
        <v>19</v>
      </c>
      <c r="S26" s="148" t="s">
        <v>19</v>
      </c>
      <c r="T26" s="149">
        <v>1905</v>
      </c>
      <c r="U26" s="92" t="s">
        <v>47</v>
      </c>
      <c r="V26" s="93">
        <v>1905026</v>
      </c>
      <c r="W26" s="92" t="s">
        <v>450</v>
      </c>
      <c r="X26" s="93">
        <v>190502600</v>
      </c>
      <c r="Y26" s="125" t="s">
        <v>48</v>
      </c>
      <c r="Z26" s="98" t="s">
        <v>316</v>
      </c>
      <c r="AA26" s="304" t="s">
        <v>461</v>
      </c>
      <c r="AB26" s="100" t="s">
        <v>341</v>
      </c>
      <c r="AC26" s="99" t="s">
        <v>342</v>
      </c>
      <c r="AD26" s="101" t="s">
        <v>319</v>
      </c>
      <c r="AE26" s="99" t="s">
        <v>320</v>
      </c>
      <c r="AF26" s="147">
        <v>0</v>
      </c>
      <c r="AG26" s="103">
        <v>1</v>
      </c>
      <c r="AH26" s="104">
        <v>1</v>
      </c>
      <c r="AI26" s="104">
        <v>1</v>
      </c>
      <c r="AJ26" s="104">
        <v>1</v>
      </c>
      <c r="AK26" s="105">
        <v>1</v>
      </c>
      <c r="AL26" s="119" t="s">
        <v>348</v>
      </c>
      <c r="AM26" s="120" t="s">
        <v>349</v>
      </c>
      <c r="AN26" s="108"/>
      <c r="AO26" s="108"/>
      <c r="AP26" s="108"/>
      <c r="AQ26" s="108"/>
      <c r="AR26" s="108"/>
      <c r="AS26" s="108"/>
      <c r="AT26" s="276">
        <f>83774630.9</f>
        <v>83774630.900000006</v>
      </c>
      <c r="AU26" s="265"/>
      <c r="AV26" s="265"/>
      <c r="AW26" s="265"/>
      <c r="AX26" s="265"/>
      <c r="AY26" s="268"/>
      <c r="AZ26" s="268"/>
      <c r="BA26" s="268"/>
      <c r="BB26" s="268"/>
      <c r="BC26" s="268"/>
      <c r="BD26" s="265"/>
      <c r="BE26" s="265"/>
      <c r="BF26" s="265"/>
      <c r="BG26" s="265"/>
      <c r="BH26" s="265"/>
      <c r="BI26" s="268"/>
      <c r="BJ26" s="270">
        <f t="shared" si="0"/>
        <v>83774630.900000006</v>
      </c>
      <c r="BK26" s="110" t="s">
        <v>323</v>
      </c>
    </row>
    <row r="27" spans="1:65" ht="409.6" thickTop="1" thickBot="1">
      <c r="A27" s="133">
        <v>1</v>
      </c>
      <c r="B27" s="134" t="s">
        <v>6</v>
      </c>
      <c r="C27" s="135" t="s">
        <v>304</v>
      </c>
      <c r="D27" s="135" t="s">
        <v>305</v>
      </c>
      <c r="E27" s="136" t="s">
        <v>114</v>
      </c>
      <c r="F27" s="137" t="s">
        <v>306</v>
      </c>
      <c r="G27" s="136" t="s">
        <v>442</v>
      </c>
      <c r="H27" s="138" t="s">
        <v>462</v>
      </c>
      <c r="I27" s="138" t="s">
        <v>463</v>
      </c>
      <c r="J27" s="113">
        <v>0</v>
      </c>
      <c r="K27" s="112">
        <v>1</v>
      </c>
      <c r="L27" s="86" t="s">
        <v>457</v>
      </c>
      <c r="M27" s="682"/>
      <c r="N27" s="87">
        <v>44</v>
      </c>
      <c r="O27" s="88" t="s">
        <v>464</v>
      </c>
      <c r="P27" s="89" t="s">
        <v>465</v>
      </c>
      <c r="Q27" s="90" t="s">
        <v>11</v>
      </c>
      <c r="R27" s="91">
        <v>19</v>
      </c>
      <c r="S27" s="148" t="s">
        <v>19</v>
      </c>
      <c r="T27" s="149">
        <v>1905</v>
      </c>
      <c r="U27" s="92" t="s">
        <v>47</v>
      </c>
      <c r="V27" s="93">
        <v>1905026</v>
      </c>
      <c r="W27" s="92" t="s">
        <v>450</v>
      </c>
      <c r="X27" s="93">
        <v>190502600</v>
      </c>
      <c r="Y27" s="125" t="s">
        <v>48</v>
      </c>
      <c r="Z27" s="98" t="s">
        <v>316</v>
      </c>
      <c r="AA27" s="304" t="s">
        <v>466</v>
      </c>
      <c r="AB27" s="100" t="s">
        <v>341</v>
      </c>
      <c r="AC27" s="99" t="s">
        <v>342</v>
      </c>
      <c r="AD27" s="101" t="s">
        <v>319</v>
      </c>
      <c r="AE27" s="99" t="s">
        <v>320</v>
      </c>
      <c r="AF27" s="147">
        <v>0</v>
      </c>
      <c r="AG27" s="103">
        <v>1</v>
      </c>
      <c r="AH27" s="104">
        <v>1</v>
      </c>
      <c r="AI27" s="104">
        <v>1</v>
      </c>
      <c r="AJ27" s="104">
        <v>1</v>
      </c>
      <c r="AK27" s="105">
        <v>1</v>
      </c>
      <c r="AL27" s="119" t="s">
        <v>348</v>
      </c>
      <c r="AM27" s="120" t="s">
        <v>349</v>
      </c>
      <c r="AN27" s="108"/>
      <c r="AO27" s="108"/>
      <c r="AP27" s="108"/>
      <c r="AQ27" s="108"/>
      <c r="AR27" s="108"/>
      <c r="AS27" s="108"/>
      <c r="AT27" s="276">
        <f>17501974.3807</f>
        <v>17501974.3807</v>
      </c>
      <c r="AU27" s="265"/>
      <c r="AV27" s="265"/>
      <c r="AW27" s="265"/>
      <c r="AX27" s="265"/>
      <c r="AY27" s="268"/>
      <c r="AZ27" s="268"/>
      <c r="BA27" s="268"/>
      <c r="BB27" s="268"/>
      <c r="BC27" s="268"/>
      <c r="BD27" s="265"/>
      <c r="BE27" s="265"/>
      <c r="BF27" s="265"/>
      <c r="BG27" s="265"/>
      <c r="BH27" s="265"/>
      <c r="BI27" s="268"/>
      <c r="BJ27" s="270">
        <f t="shared" si="0"/>
        <v>17501974.3807</v>
      </c>
      <c r="BK27" s="110" t="s">
        <v>323</v>
      </c>
    </row>
    <row r="28" spans="1:65" ht="409.6" thickTop="1" thickBot="1">
      <c r="A28" s="133">
        <v>1</v>
      </c>
      <c r="B28" s="134" t="s">
        <v>6</v>
      </c>
      <c r="C28" s="135" t="s">
        <v>304</v>
      </c>
      <c r="D28" s="135" t="s">
        <v>305</v>
      </c>
      <c r="E28" s="136" t="s">
        <v>114</v>
      </c>
      <c r="F28" s="137" t="s">
        <v>306</v>
      </c>
      <c r="G28" s="136" t="s">
        <v>442</v>
      </c>
      <c r="H28" s="138" t="s">
        <v>467</v>
      </c>
      <c r="I28" s="138" t="s">
        <v>468</v>
      </c>
      <c r="J28" s="112">
        <v>0</v>
      </c>
      <c r="K28" s="112">
        <v>1</v>
      </c>
      <c r="L28" s="86" t="s">
        <v>457</v>
      </c>
      <c r="M28" s="682"/>
      <c r="N28" s="87">
        <v>45</v>
      </c>
      <c r="O28" s="88" t="s">
        <v>469</v>
      </c>
      <c r="P28" s="89" t="s">
        <v>470</v>
      </c>
      <c r="Q28" s="90" t="s">
        <v>11</v>
      </c>
      <c r="R28" s="91">
        <v>19</v>
      </c>
      <c r="S28" s="148" t="s">
        <v>19</v>
      </c>
      <c r="T28" s="149">
        <v>1905</v>
      </c>
      <c r="U28" s="92" t="s">
        <v>47</v>
      </c>
      <c r="V28" s="93">
        <v>1905026</v>
      </c>
      <c r="W28" s="92" t="s">
        <v>450</v>
      </c>
      <c r="X28" s="93">
        <v>190502600</v>
      </c>
      <c r="Y28" s="125" t="s">
        <v>48</v>
      </c>
      <c r="Z28" s="98" t="s">
        <v>316</v>
      </c>
      <c r="AA28" s="304" t="s">
        <v>471</v>
      </c>
      <c r="AB28" s="100" t="s">
        <v>341</v>
      </c>
      <c r="AC28" s="99" t="s">
        <v>342</v>
      </c>
      <c r="AD28" s="101" t="s">
        <v>319</v>
      </c>
      <c r="AE28" s="99" t="s">
        <v>320</v>
      </c>
      <c r="AF28" s="147">
        <v>0</v>
      </c>
      <c r="AG28" s="103">
        <v>1</v>
      </c>
      <c r="AH28" s="104">
        <v>1</v>
      </c>
      <c r="AI28" s="104">
        <v>1</v>
      </c>
      <c r="AJ28" s="104">
        <v>1</v>
      </c>
      <c r="AK28" s="105">
        <v>1</v>
      </c>
      <c r="AL28" s="119" t="s">
        <v>348</v>
      </c>
      <c r="AM28" s="120" t="s">
        <v>349</v>
      </c>
      <c r="AN28" s="108"/>
      <c r="AO28" s="108"/>
      <c r="AP28" s="108"/>
      <c r="AQ28" s="108"/>
      <c r="AR28" s="108"/>
      <c r="AS28" s="108"/>
      <c r="AT28" s="276">
        <f>53549517.82</f>
        <v>53549517.82</v>
      </c>
      <c r="AU28" s="265"/>
      <c r="AV28" s="265"/>
      <c r="AW28" s="265"/>
      <c r="AX28" s="265"/>
      <c r="AY28" s="282">
        <f>53549520</f>
        <v>53549520</v>
      </c>
      <c r="AZ28" s="268"/>
      <c r="BA28" s="268"/>
      <c r="BB28" s="268"/>
      <c r="BC28" s="268"/>
      <c r="BD28" s="265"/>
      <c r="BE28" s="265"/>
      <c r="BF28" s="265"/>
      <c r="BG28" s="265"/>
      <c r="BH28" s="265"/>
      <c r="BI28" s="268"/>
      <c r="BJ28" s="270">
        <f t="shared" si="0"/>
        <v>107099037.81999999</v>
      </c>
      <c r="BK28" s="110" t="s">
        <v>323</v>
      </c>
    </row>
    <row r="29" spans="1:65" ht="346.5" thickTop="1" thickBot="1">
      <c r="A29" s="133">
        <v>1</v>
      </c>
      <c r="B29" s="134" t="s">
        <v>6</v>
      </c>
      <c r="C29" s="135" t="s">
        <v>304</v>
      </c>
      <c r="D29" s="135" t="s">
        <v>305</v>
      </c>
      <c r="E29" s="136" t="s">
        <v>114</v>
      </c>
      <c r="F29" s="137" t="s">
        <v>306</v>
      </c>
      <c r="G29" s="114" t="s">
        <v>472</v>
      </c>
      <c r="H29" s="138" t="s">
        <v>49</v>
      </c>
      <c r="I29" s="138" t="s">
        <v>473</v>
      </c>
      <c r="J29" s="163">
        <v>0</v>
      </c>
      <c r="K29" s="164">
        <v>0.5</v>
      </c>
      <c r="L29" s="87" t="s">
        <v>474</v>
      </c>
      <c r="M29" s="87" t="s">
        <v>475</v>
      </c>
      <c r="N29" s="87">
        <v>46</v>
      </c>
      <c r="O29" s="88" t="s">
        <v>476</v>
      </c>
      <c r="P29" s="89" t="s">
        <v>477</v>
      </c>
      <c r="Q29" s="90" t="s">
        <v>11</v>
      </c>
      <c r="R29" s="91">
        <v>19</v>
      </c>
      <c r="S29" s="148" t="s">
        <v>19</v>
      </c>
      <c r="T29" s="149">
        <v>1905</v>
      </c>
      <c r="U29" s="92" t="s">
        <v>50</v>
      </c>
      <c r="V29" s="93">
        <v>1905025</v>
      </c>
      <c r="W29" s="92" t="s">
        <v>478</v>
      </c>
      <c r="X29" s="93">
        <v>190502500</v>
      </c>
      <c r="Y29" s="125" t="s">
        <v>51</v>
      </c>
      <c r="Z29" s="98" t="s">
        <v>316</v>
      </c>
      <c r="AA29" s="304" t="s">
        <v>479</v>
      </c>
      <c r="AB29" s="100" t="s">
        <v>341</v>
      </c>
      <c r="AC29" s="99" t="s">
        <v>342</v>
      </c>
      <c r="AD29" s="101" t="s">
        <v>319</v>
      </c>
      <c r="AE29" s="99" t="s">
        <v>320</v>
      </c>
      <c r="AF29" s="147">
        <v>0</v>
      </c>
      <c r="AG29" s="103">
        <v>1</v>
      </c>
      <c r="AH29" s="104">
        <v>1</v>
      </c>
      <c r="AI29" s="104">
        <v>1</v>
      </c>
      <c r="AJ29" s="104">
        <v>1</v>
      </c>
      <c r="AK29" s="105">
        <v>1</v>
      </c>
      <c r="AL29" s="119" t="s">
        <v>348</v>
      </c>
      <c r="AM29" s="120" t="s">
        <v>349</v>
      </c>
      <c r="AN29" s="108"/>
      <c r="AO29" s="108"/>
      <c r="AP29" s="108"/>
      <c r="AQ29" s="108"/>
      <c r="AR29" s="108"/>
      <c r="AS29" s="108"/>
      <c r="AT29" s="276">
        <f>26461259.6064</f>
        <v>26461259.606400002</v>
      </c>
      <c r="AU29" s="265"/>
      <c r="AV29" s="265"/>
      <c r="AW29" s="265"/>
      <c r="AX29" s="265"/>
      <c r="AY29" s="283"/>
      <c r="AZ29" s="268"/>
      <c r="BA29" s="268"/>
      <c r="BB29" s="268"/>
      <c r="BC29" s="268"/>
      <c r="BD29" s="265"/>
      <c r="BE29" s="265"/>
      <c r="BF29" s="265"/>
      <c r="BG29" s="265"/>
      <c r="BH29" s="265"/>
      <c r="BI29" s="268"/>
      <c r="BJ29" s="270">
        <f t="shared" si="0"/>
        <v>26461259.606400002</v>
      </c>
      <c r="BK29" s="110" t="s">
        <v>323</v>
      </c>
    </row>
    <row r="30" spans="1:65" ht="409.6" thickTop="1" thickBot="1">
      <c r="A30" s="133">
        <v>1</v>
      </c>
      <c r="B30" s="134" t="s">
        <v>6</v>
      </c>
      <c r="C30" s="135" t="s">
        <v>304</v>
      </c>
      <c r="D30" s="135" t="s">
        <v>305</v>
      </c>
      <c r="E30" s="136" t="s">
        <v>114</v>
      </c>
      <c r="F30" s="137" t="s">
        <v>306</v>
      </c>
      <c r="G30" s="136" t="s">
        <v>480</v>
      </c>
      <c r="H30" s="138" t="s">
        <v>10</v>
      </c>
      <c r="I30" s="138" t="s">
        <v>481</v>
      </c>
      <c r="J30" s="163">
        <v>0</v>
      </c>
      <c r="K30" s="163">
        <v>1</v>
      </c>
      <c r="L30" s="86" t="s">
        <v>482</v>
      </c>
      <c r="M30" s="86" t="s">
        <v>483</v>
      </c>
      <c r="N30" s="87">
        <v>47</v>
      </c>
      <c r="O30" s="165" t="s">
        <v>484</v>
      </c>
      <c r="P30" s="86" t="s">
        <v>485</v>
      </c>
      <c r="Q30" s="166" t="s">
        <v>11</v>
      </c>
      <c r="R30" s="167">
        <v>19</v>
      </c>
      <c r="S30" s="168" t="s">
        <v>12</v>
      </c>
      <c r="T30" s="169" t="s">
        <v>486</v>
      </c>
      <c r="U30" s="170" t="s">
        <v>13</v>
      </c>
      <c r="V30" s="169" t="s">
        <v>487</v>
      </c>
      <c r="W30" s="170" t="s">
        <v>488</v>
      </c>
      <c r="X30" s="169" t="s">
        <v>315</v>
      </c>
      <c r="Y30" s="168" t="s">
        <v>14</v>
      </c>
      <c r="Z30" s="171" t="s">
        <v>316</v>
      </c>
      <c r="AA30" s="306" t="s">
        <v>489</v>
      </c>
      <c r="AB30" s="100" t="s">
        <v>341</v>
      </c>
      <c r="AC30" s="99" t="s">
        <v>342</v>
      </c>
      <c r="AD30" s="101" t="s">
        <v>319</v>
      </c>
      <c r="AE30" s="99" t="s">
        <v>320</v>
      </c>
      <c r="AF30" s="147">
        <v>0</v>
      </c>
      <c r="AG30" s="103">
        <v>1</v>
      </c>
      <c r="AH30" s="104">
        <v>1</v>
      </c>
      <c r="AI30" s="104">
        <v>1</v>
      </c>
      <c r="AJ30" s="104">
        <v>1</v>
      </c>
      <c r="AK30" s="105">
        <v>1</v>
      </c>
      <c r="AL30" s="172" t="s">
        <v>490</v>
      </c>
      <c r="AM30" s="107" t="s">
        <v>491</v>
      </c>
      <c r="AN30" s="108"/>
      <c r="AO30" s="108"/>
      <c r="AP30" s="108"/>
      <c r="AQ30" s="108"/>
      <c r="AR30" s="108"/>
      <c r="AS30" s="108"/>
      <c r="AT30" s="281"/>
      <c r="AU30" s="265"/>
      <c r="AV30" s="265"/>
      <c r="AW30" s="265"/>
      <c r="AX30" s="265"/>
      <c r="AY30" s="283"/>
      <c r="AZ30" s="268"/>
      <c r="BA30" s="268"/>
      <c r="BB30" s="268"/>
      <c r="BC30" s="268"/>
      <c r="BD30" s="265"/>
      <c r="BE30" s="265"/>
      <c r="BF30" s="265"/>
      <c r="BG30" s="265"/>
      <c r="BH30" s="265"/>
      <c r="BI30" s="268"/>
      <c r="BJ30" s="270">
        <f t="shared" si="0"/>
        <v>0</v>
      </c>
      <c r="BK30" s="110" t="s">
        <v>323</v>
      </c>
    </row>
    <row r="31" spans="1:65" ht="409.6" thickTop="1" thickBot="1">
      <c r="A31" s="133"/>
      <c r="B31" s="134" t="s">
        <v>6</v>
      </c>
      <c r="C31" s="135"/>
      <c r="D31" s="135"/>
      <c r="E31" s="136" t="s">
        <v>114</v>
      </c>
      <c r="F31" s="137"/>
      <c r="G31" s="136"/>
      <c r="H31" s="138"/>
      <c r="I31" s="138"/>
      <c r="J31" s="163"/>
      <c r="K31" s="163"/>
      <c r="L31" s="86"/>
      <c r="M31" s="86"/>
      <c r="N31" s="87"/>
      <c r="O31" s="683" t="s">
        <v>492</v>
      </c>
      <c r="P31" s="684"/>
      <c r="Q31" s="173" t="s">
        <v>11</v>
      </c>
      <c r="R31" s="174">
        <v>19</v>
      </c>
      <c r="S31" s="175" t="s">
        <v>19</v>
      </c>
      <c r="T31" s="176">
        <v>1905</v>
      </c>
      <c r="U31" s="177" t="s">
        <v>493</v>
      </c>
      <c r="V31" s="176">
        <v>1905019</v>
      </c>
      <c r="W31" s="177" t="s">
        <v>494</v>
      </c>
      <c r="X31" s="176">
        <v>190501900</v>
      </c>
      <c r="Y31" s="178" t="s">
        <v>7</v>
      </c>
      <c r="Z31" s="179" t="s">
        <v>316</v>
      </c>
      <c r="AA31" s="307" t="s">
        <v>489</v>
      </c>
      <c r="AB31" s="100"/>
      <c r="AC31" s="99"/>
      <c r="AD31" s="101"/>
      <c r="AE31" s="99"/>
      <c r="AF31" s="147"/>
      <c r="AG31" s="103"/>
      <c r="AH31" s="104"/>
      <c r="AI31" s="104"/>
      <c r="AJ31" s="104"/>
      <c r="AK31" s="105"/>
      <c r="AL31" s="119" t="s">
        <v>348</v>
      </c>
      <c r="AM31" s="120" t="s">
        <v>349</v>
      </c>
      <c r="AN31" s="108"/>
      <c r="AO31" s="108"/>
      <c r="AP31" s="108"/>
      <c r="AQ31" s="108"/>
      <c r="AR31" s="108"/>
      <c r="AS31" s="108"/>
      <c r="AT31" s="276">
        <f>117845786</f>
        <v>117845786</v>
      </c>
      <c r="AU31" s="265"/>
      <c r="AV31" s="265"/>
      <c r="AW31" s="265"/>
      <c r="AX31" s="265"/>
      <c r="AY31" s="283"/>
      <c r="AZ31" s="268"/>
      <c r="BA31" s="268"/>
      <c r="BB31" s="268"/>
      <c r="BC31" s="268"/>
      <c r="BD31" s="265"/>
      <c r="BE31" s="265"/>
      <c r="BF31" s="265"/>
      <c r="BG31" s="265"/>
      <c r="BH31" s="265"/>
      <c r="BI31" s="268"/>
      <c r="BJ31" s="270">
        <f t="shared" si="0"/>
        <v>117845786</v>
      </c>
      <c r="BK31" s="110" t="s">
        <v>323</v>
      </c>
      <c r="BM31" s="281"/>
    </row>
    <row r="32" spans="1:65" ht="346.5" thickTop="1" thickBot="1">
      <c r="A32" s="133">
        <v>1</v>
      </c>
      <c r="B32" s="134" t="s">
        <v>6</v>
      </c>
      <c r="C32" s="135" t="s">
        <v>304</v>
      </c>
      <c r="D32" s="135" t="s">
        <v>305</v>
      </c>
      <c r="E32" s="136" t="s">
        <v>114</v>
      </c>
      <c r="F32" s="137" t="s">
        <v>306</v>
      </c>
      <c r="G32" s="136" t="s">
        <v>495</v>
      </c>
      <c r="H32" s="138" t="s">
        <v>496</v>
      </c>
      <c r="I32" s="138" t="s">
        <v>497</v>
      </c>
      <c r="J32" s="163">
        <v>0</v>
      </c>
      <c r="K32" s="164">
        <v>1</v>
      </c>
      <c r="L32" s="86" t="s">
        <v>498</v>
      </c>
      <c r="M32" s="682" t="s">
        <v>499</v>
      </c>
      <c r="N32" s="87">
        <v>48</v>
      </c>
      <c r="O32" s="88" t="s">
        <v>500</v>
      </c>
      <c r="P32" s="89" t="s">
        <v>501</v>
      </c>
      <c r="Q32" s="90" t="s">
        <v>11</v>
      </c>
      <c r="R32" s="91">
        <v>19</v>
      </c>
      <c r="S32" s="92" t="s">
        <v>23</v>
      </c>
      <c r="T32" s="93">
        <v>1903</v>
      </c>
      <c r="U32" s="94" t="s">
        <v>27</v>
      </c>
      <c r="V32" s="95">
        <v>1903025</v>
      </c>
      <c r="W32" s="111" t="s">
        <v>502</v>
      </c>
      <c r="X32" s="95">
        <v>190302500</v>
      </c>
      <c r="Y32" s="180" t="s">
        <v>28</v>
      </c>
      <c r="Z32" s="139" t="s">
        <v>316</v>
      </c>
      <c r="AA32" s="304" t="s">
        <v>503</v>
      </c>
      <c r="AB32" s="100" t="s">
        <v>341</v>
      </c>
      <c r="AC32" s="99" t="s">
        <v>342</v>
      </c>
      <c r="AD32" s="101" t="s">
        <v>319</v>
      </c>
      <c r="AE32" s="99" t="s">
        <v>320</v>
      </c>
      <c r="AF32" s="147">
        <v>0</v>
      </c>
      <c r="AG32" s="103">
        <v>1</v>
      </c>
      <c r="AH32" s="104">
        <v>1</v>
      </c>
      <c r="AI32" s="104">
        <v>1</v>
      </c>
      <c r="AJ32" s="104">
        <v>1</v>
      </c>
      <c r="AK32" s="105">
        <v>1</v>
      </c>
      <c r="AL32" s="123" t="s">
        <v>362</v>
      </c>
      <c r="AM32" s="124" t="s">
        <v>363</v>
      </c>
      <c r="AN32" s="108"/>
      <c r="AO32" s="108"/>
      <c r="AP32" s="108"/>
      <c r="AQ32" s="108"/>
      <c r="AR32" s="108"/>
      <c r="AS32" s="108"/>
      <c r="AT32" s="276">
        <f>38150000</f>
        <v>38150000</v>
      </c>
      <c r="AU32" s="265"/>
      <c r="AV32" s="265"/>
      <c r="AW32" s="265"/>
      <c r="AX32" s="265"/>
      <c r="AY32" s="282">
        <f>46216000</f>
        <v>46216000</v>
      </c>
      <c r="AZ32" s="268"/>
      <c r="BA32" s="268"/>
      <c r="BB32" s="268"/>
      <c r="BC32" s="268"/>
      <c r="BD32" s="265"/>
      <c r="BE32" s="265"/>
      <c r="BF32" s="265"/>
      <c r="BG32" s="265"/>
      <c r="BH32" s="265"/>
      <c r="BI32" s="268"/>
      <c r="BJ32" s="270">
        <f t="shared" si="0"/>
        <v>84366000</v>
      </c>
      <c r="BK32" s="110" t="s">
        <v>323</v>
      </c>
    </row>
    <row r="33" spans="1:66" ht="395.25" thickTop="1" thickBot="1">
      <c r="A33" s="133">
        <v>1</v>
      </c>
      <c r="B33" s="134" t="s">
        <v>6</v>
      </c>
      <c r="C33" s="135" t="s">
        <v>304</v>
      </c>
      <c r="D33" s="135" t="s">
        <v>305</v>
      </c>
      <c r="E33" s="136" t="s">
        <v>114</v>
      </c>
      <c r="F33" s="137" t="s">
        <v>306</v>
      </c>
      <c r="G33" s="136" t="s">
        <v>495</v>
      </c>
      <c r="H33" s="138" t="s">
        <v>504</v>
      </c>
      <c r="I33" s="138" t="s">
        <v>505</v>
      </c>
      <c r="J33" s="113">
        <v>0</v>
      </c>
      <c r="K33" s="112">
        <v>1</v>
      </c>
      <c r="L33" s="86" t="s">
        <v>498</v>
      </c>
      <c r="M33" s="682"/>
      <c r="N33" s="87">
        <v>49</v>
      </c>
      <c r="O33" s="88" t="s">
        <v>506</v>
      </c>
      <c r="P33" s="89" t="s">
        <v>507</v>
      </c>
      <c r="Q33" s="90" t="s">
        <v>11</v>
      </c>
      <c r="R33" s="91">
        <v>19</v>
      </c>
      <c r="S33" s="125" t="s">
        <v>23</v>
      </c>
      <c r="T33" s="93">
        <v>1903</v>
      </c>
      <c r="U33" s="92" t="s">
        <v>24</v>
      </c>
      <c r="V33" s="93">
        <v>1903011</v>
      </c>
      <c r="W33" s="92" t="s">
        <v>359</v>
      </c>
      <c r="X33" s="93">
        <v>190301100</v>
      </c>
      <c r="Y33" s="92" t="s">
        <v>26</v>
      </c>
      <c r="Z33" s="139" t="s">
        <v>316</v>
      </c>
      <c r="AA33" s="304" t="s">
        <v>508</v>
      </c>
      <c r="AB33" s="100" t="s">
        <v>341</v>
      </c>
      <c r="AC33" s="99" t="s">
        <v>342</v>
      </c>
      <c r="AD33" s="101" t="s">
        <v>319</v>
      </c>
      <c r="AE33" s="99" t="s">
        <v>320</v>
      </c>
      <c r="AF33" s="147">
        <v>0</v>
      </c>
      <c r="AG33" s="103">
        <v>1</v>
      </c>
      <c r="AH33" s="104">
        <v>1</v>
      </c>
      <c r="AI33" s="104">
        <v>1</v>
      </c>
      <c r="AJ33" s="104">
        <v>1</v>
      </c>
      <c r="AK33" s="105">
        <v>1</v>
      </c>
      <c r="AL33" s="181" t="s">
        <v>362</v>
      </c>
      <c r="AM33" s="107" t="s">
        <v>363</v>
      </c>
      <c r="AN33" s="108"/>
      <c r="AO33" s="108"/>
      <c r="AP33" s="108"/>
      <c r="AQ33" s="108"/>
      <c r="AR33" s="108"/>
      <c r="AS33" s="108"/>
      <c r="AT33" s="276">
        <f>213456880</f>
        <v>213456880</v>
      </c>
      <c r="AU33" s="284">
        <f>200000000</f>
        <v>200000000</v>
      </c>
      <c r="AV33" s="265"/>
      <c r="AW33" s="284">
        <f>300000000</f>
        <v>300000000</v>
      </c>
      <c r="AX33" s="265"/>
      <c r="AY33" s="282"/>
      <c r="AZ33" s="268"/>
      <c r="BA33" s="268"/>
      <c r="BB33" s="268"/>
      <c r="BC33" s="268"/>
      <c r="BD33" s="265"/>
      <c r="BE33" s="265"/>
      <c r="BF33" s="265"/>
      <c r="BG33" s="265"/>
      <c r="BH33" s="265"/>
      <c r="BI33" s="282"/>
      <c r="BJ33" s="270">
        <f t="shared" si="0"/>
        <v>713456880</v>
      </c>
      <c r="BK33" s="110" t="s">
        <v>323</v>
      </c>
    </row>
    <row r="34" spans="1:66" ht="379.5" thickTop="1" thickBot="1">
      <c r="A34" s="133">
        <v>1</v>
      </c>
      <c r="B34" s="134" t="s">
        <v>6</v>
      </c>
      <c r="C34" s="135" t="s">
        <v>304</v>
      </c>
      <c r="D34" s="135" t="s">
        <v>305</v>
      </c>
      <c r="E34" s="136" t="s">
        <v>114</v>
      </c>
      <c r="F34" s="137" t="s">
        <v>306</v>
      </c>
      <c r="G34" s="136" t="s">
        <v>495</v>
      </c>
      <c r="H34" s="138" t="s">
        <v>509</v>
      </c>
      <c r="I34" s="138" t="s">
        <v>510</v>
      </c>
      <c r="J34" s="163">
        <v>0</v>
      </c>
      <c r="K34" s="164">
        <v>1</v>
      </c>
      <c r="L34" s="86" t="s">
        <v>498</v>
      </c>
      <c r="M34" s="682"/>
      <c r="N34" s="87">
        <v>50</v>
      </c>
      <c r="O34" s="88" t="s">
        <v>511</v>
      </c>
      <c r="P34" s="89" t="s">
        <v>512</v>
      </c>
      <c r="Q34" s="90" t="s">
        <v>11</v>
      </c>
      <c r="R34" s="91">
        <v>19</v>
      </c>
      <c r="S34" s="125" t="s">
        <v>23</v>
      </c>
      <c r="T34" s="93">
        <v>1903</v>
      </c>
      <c r="U34" s="92" t="s">
        <v>29</v>
      </c>
      <c r="V34" s="93">
        <v>1903016</v>
      </c>
      <c r="W34" s="92" t="s">
        <v>513</v>
      </c>
      <c r="X34" s="93">
        <v>190301600</v>
      </c>
      <c r="Y34" s="92" t="s">
        <v>30</v>
      </c>
      <c r="Z34" s="139" t="s">
        <v>316</v>
      </c>
      <c r="AA34" s="304" t="s">
        <v>514</v>
      </c>
      <c r="AB34" s="100" t="s">
        <v>341</v>
      </c>
      <c r="AC34" s="99" t="s">
        <v>342</v>
      </c>
      <c r="AD34" s="101" t="s">
        <v>319</v>
      </c>
      <c r="AE34" s="99" t="s">
        <v>320</v>
      </c>
      <c r="AF34" s="147">
        <v>0</v>
      </c>
      <c r="AG34" s="103">
        <v>1</v>
      </c>
      <c r="AH34" s="104">
        <v>1</v>
      </c>
      <c r="AI34" s="104">
        <v>1</v>
      </c>
      <c r="AJ34" s="104">
        <v>1</v>
      </c>
      <c r="AK34" s="105">
        <v>1</v>
      </c>
      <c r="AL34" s="181" t="s">
        <v>362</v>
      </c>
      <c r="AM34" s="107" t="s">
        <v>363</v>
      </c>
      <c r="AN34" s="108"/>
      <c r="AO34" s="108"/>
      <c r="AP34" s="108"/>
      <c r="AQ34" s="108"/>
      <c r="AR34" s="108"/>
      <c r="AS34" s="108"/>
      <c r="AT34" s="276">
        <f>179031189.82</f>
        <v>179031189.81999999</v>
      </c>
      <c r="AU34" s="265"/>
      <c r="AV34" s="265"/>
      <c r="AW34" s="265"/>
      <c r="AX34" s="265"/>
      <c r="AY34" s="283"/>
      <c r="AZ34" s="268"/>
      <c r="BA34" s="268"/>
      <c r="BB34" s="268"/>
      <c r="BC34" s="268"/>
      <c r="BD34" s="265"/>
      <c r="BE34" s="265"/>
      <c r="BF34" s="265"/>
      <c r="BG34" s="265"/>
      <c r="BH34" s="265"/>
      <c r="BI34" s="268"/>
      <c r="BJ34" s="270">
        <f t="shared" si="0"/>
        <v>179031189.81999999</v>
      </c>
      <c r="BK34" s="110" t="s">
        <v>323</v>
      </c>
    </row>
    <row r="35" spans="1:66" ht="346.5" thickTop="1" thickBot="1">
      <c r="A35" s="133">
        <v>1</v>
      </c>
      <c r="B35" s="134" t="s">
        <v>6</v>
      </c>
      <c r="C35" s="135" t="s">
        <v>304</v>
      </c>
      <c r="D35" s="135" t="s">
        <v>305</v>
      </c>
      <c r="E35" s="136" t="s">
        <v>114</v>
      </c>
      <c r="F35" s="137" t="s">
        <v>306</v>
      </c>
      <c r="G35" s="136" t="s">
        <v>495</v>
      </c>
      <c r="H35" s="138" t="s">
        <v>22</v>
      </c>
      <c r="I35" s="138" t="s">
        <v>515</v>
      </c>
      <c r="J35" s="113">
        <v>0</v>
      </c>
      <c r="K35" s="112">
        <v>1</v>
      </c>
      <c r="L35" s="86" t="s">
        <v>498</v>
      </c>
      <c r="M35" s="682"/>
      <c r="N35" s="87">
        <v>51</v>
      </c>
      <c r="O35" s="88" t="s">
        <v>516</v>
      </c>
      <c r="P35" s="89" t="s">
        <v>517</v>
      </c>
      <c r="Q35" s="90" t="s">
        <v>11</v>
      </c>
      <c r="R35" s="91">
        <v>19</v>
      </c>
      <c r="S35" s="92" t="s">
        <v>23</v>
      </c>
      <c r="T35" s="93">
        <v>1903</v>
      </c>
      <c r="U35" s="94" t="s">
        <v>24</v>
      </c>
      <c r="V35" s="95">
        <v>1903011</v>
      </c>
      <c r="W35" s="111" t="s">
        <v>359</v>
      </c>
      <c r="X35" s="95">
        <v>190301100</v>
      </c>
      <c r="Y35" s="111" t="s">
        <v>26</v>
      </c>
      <c r="Z35" s="139" t="s">
        <v>316</v>
      </c>
      <c r="AA35" s="304" t="s">
        <v>518</v>
      </c>
      <c r="AB35" s="100" t="s">
        <v>341</v>
      </c>
      <c r="AC35" s="99" t="s">
        <v>342</v>
      </c>
      <c r="AD35" s="101" t="s">
        <v>319</v>
      </c>
      <c r="AE35" s="99" t="s">
        <v>320</v>
      </c>
      <c r="AF35" s="147">
        <v>0</v>
      </c>
      <c r="AG35" s="103">
        <v>1</v>
      </c>
      <c r="AH35" s="104">
        <v>1</v>
      </c>
      <c r="AI35" s="104">
        <v>1</v>
      </c>
      <c r="AJ35" s="104">
        <v>1</v>
      </c>
      <c r="AK35" s="105">
        <v>1</v>
      </c>
      <c r="AL35" s="123" t="s">
        <v>362</v>
      </c>
      <c r="AM35" s="124" t="s">
        <v>363</v>
      </c>
      <c r="AN35" s="108"/>
      <c r="AO35" s="108"/>
      <c r="AP35" s="108"/>
      <c r="AQ35" s="108"/>
      <c r="AR35" s="108"/>
      <c r="AS35" s="108"/>
      <c r="AT35" s="276">
        <f>46652000</f>
        <v>46652000</v>
      </c>
      <c r="AU35" s="265"/>
      <c r="AV35" s="265"/>
      <c r="AW35" s="265"/>
      <c r="AX35" s="265"/>
      <c r="AY35" s="283"/>
      <c r="AZ35" s="268"/>
      <c r="BA35" s="268"/>
      <c r="BB35" s="268"/>
      <c r="BC35" s="268"/>
      <c r="BD35" s="265"/>
      <c r="BE35" s="265"/>
      <c r="BF35" s="265"/>
      <c r="BG35" s="265"/>
      <c r="BH35" s="265"/>
      <c r="BI35" s="268"/>
      <c r="BJ35" s="270">
        <f t="shared" si="0"/>
        <v>46652000</v>
      </c>
      <c r="BK35" s="110" t="s">
        <v>323</v>
      </c>
    </row>
    <row r="36" spans="1:66" ht="346.5" thickTop="1" thickBot="1">
      <c r="A36" s="133">
        <v>1</v>
      </c>
      <c r="B36" s="134" t="s">
        <v>6</v>
      </c>
      <c r="C36" s="135" t="s">
        <v>304</v>
      </c>
      <c r="D36" s="135" t="s">
        <v>305</v>
      </c>
      <c r="E36" s="136" t="s">
        <v>114</v>
      </c>
      <c r="F36" s="137" t="s">
        <v>306</v>
      </c>
      <c r="G36" s="136" t="s">
        <v>495</v>
      </c>
      <c r="H36" s="138" t="s">
        <v>519</v>
      </c>
      <c r="I36" s="138" t="s">
        <v>520</v>
      </c>
      <c r="J36" s="113">
        <v>0</v>
      </c>
      <c r="K36" s="112">
        <v>1</v>
      </c>
      <c r="L36" s="86" t="s">
        <v>498</v>
      </c>
      <c r="M36" s="682"/>
      <c r="N36" s="87">
        <v>52</v>
      </c>
      <c r="O36" s="88" t="s">
        <v>521</v>
      </c>
      <c r="P36" s="89" t="s">
        <v>522</v>
      </c>
      <c r="Q36" s="166" t="s">
        <v>11</v>
      </c>
      <c r="R36" s="167">
        <v>19</v>
      </c>
      <c r="S36" s="182" t="s">
        <v>12</v>
      </c>
      <c r="T36" s="183">
        <v>1906</v>
      </c>
      <c r="U36" s="184" t="s">
        <v>523</v>
      </c>
      <c r="V36" s="185">
        <v>1906031</v>
      </c>
      <c r="W36" s="186" t="s">
        <v>524</v>
      </c>
      <c r="X36" s="185">
        <v>190603100</v>
      </c>
      <c r="Y36" s="186" t="s">
        <v>525</v>
      </c>
      <c r="Z36" s="187" t="s">
        <v>316</v>
      </c>
      <c r="AA36" s="306" t="s">
        <v>526</v>
      </c>
      <c r="AB36" s="100" t="s">
        <v>341</v>
      </c>
      <c r="AC36" s="99" t="s">
        <v>342</v>
      </c>
      <c r="AD36" s="101" t="s">
        <v>319</v>
      </c>
      <c r="AE36" s="99" t="s">
        <v>320</v>
      </c>
      <c r="AF36" s="188">
        <v>1</v>
      </c>
      <c r="AG36" s="103">
        <v>1</v>
      </c>
      <c r="AH36" s="104">
        <v>1</v>
      </c>
      <c r="AI36" s="104">
        <v>1</v>
      </c>
      <c r="AJ36" s="104">
        <v>1</v>
      </c>
      <c r="AK36" s="105">
        <v>1</v>
      </c>
      <c r="AL36" s="106" t="s">
        <v>321</v>
      </c>
      <c r="AM36" s="107" t="s">
        <v>322</v>
      </c>
      <c r="AN36" s="108"/>
      <c r="AO36" s="108"/>
      <c r="AP36" s="108"/>
      <c r="AQ36" s="108"/>
      <c r="AR36" s="108"/>
      <c r="AS36" s="108"/>
      <c r="AT36" s="273"/>
      <c r="AU36" s="265"/>
      <c r="AV36" s="265"/>
      <c r="AW36" s="265"/>
      <c r="AX36" s="265"/>
      <c r="AY36" s="283"/>
      <c r="AZ36" s="268"/>
      <c r="BA36" s="268"/>
      <c r="BB36" s="268"/>
      <c r="BC36" s="268"/>
      <c r="BD36" s="265"/>
      <c r="BE36" s="265"/>
      <c r="BF36" s="265"/>
      <c r="BG36" s="265"/>
      <c r="BH36" s="265"/>
      <c r="BI36" s="268"/>
      <c r="BJ36" s="270">
        <f t="shared" si="0"/>
        <v>0</v>
      </c>
      <c r="BK36" s="110" t="s">
        <v>323</v>
      </c>
    </row>
    <row r="37" spans="1:66" ht="271.5" thickTop="1" thickBot="1">
      <c r="A37" s="133"/>
      <c r="B37" s="134" t="s">
        <v>6</v>
      </c>
      <c r="C37" s="135"/>
      <c r="D37" s="135"/>
      <c r="E37" s="136" t="s">
        <v>114</v>
      </c>
      <c r="F37" s="137"/>
      <c r="G37" s="136"/>
      <c r="H37" s="138"/>
      <c r="I37" s="138"/>
      <c r="J37" s="113"/>
      <c r="K37" s="112"/>
      <c r="L37" s="86"/>
      <c r="M37" s="87"/>
      <c r="N37" s="87"/>
      <c r="O37" s="683" t="s">
        <v>492</v>
      </c>
      <c r="P37" s="684"/>
      <c r="Q37" s="173" t="s">
        <v>11</v>
      </c>
      <c r="R37" s="174">
        <v>19</v>
      </c>
      <c r="S37" s="189" t="s">
        <v>23</v>
      </c>
      <c r="T37" s="190">
        <v>1903</v>
      </c>
      <c r="U37" s="191" t="s">
        <v>87</v>
      </c>
      <c r="V37" s="192">
        <v>1903045</v>
      </c>
      <c r="W37" s="193" t="s">
        <v>527</v>
      </c>
      <c r="X37" s="192">
        <v>190304500</v>
      </c>
      <c r="Y37" s="193" t="s">
        <v>528</v>
      </c>
      <c r="Z37" s="194" t="s">
        <v>316</v>
      </c>
      <c r="AA37" s="307" t="s">
        <v>526</v>
      </c>
      <c r="AB37" s="100"/>
      <c r="AC37" s="99"/>
      <c r="AD37" s="101"/>
      <c r="AE37" s="99"/>
      <c r="AF37" s="188"/>
      <c r="AG37" s="103"/>
      <c r="AH37" s="104"/>
      <c r="AI37" s="104"/>
      <c r="AJ37" s="104"/>
      <c r="AK37" s="105"/>
      <c r="AL37" s="195" t="s">
        <v>529</v>
      </c>
      <c r="AM37" s="196" t="s">
        <v>530</v>
      </c>
      <c r="AN37" s="108"/>
      <c r="AO37" s="108"/>
      <c r="AP37" s="108"/>
      <c r="AQ37" s="108"/>
      <c r="AR37" s="108"/>
      <c r="AS37" s="108"/>
      <c r="AT37" s="273"/>
      <c r="AU37" s="285"/>
      <c r="AV37" s="285"/>
      <c r="AW37" s="285"/>
      <c r="AX37" s="265"/>
      <c r="AY37" s="282">
        <f>116630000</f>
        <v>116630000</v>
      </c>
      <c r="AZ37" s="268"/>
      <c r="BA37" s="268"/>
      <c r="BB37" s="268"/>
      <c r="BC37" s="268"/>
      <c r="BD37" s="265"/>
      <c r="BE37" s="265"/>
      <c r="BF37" s="265"/>
      <c r="BG37" s="265"/>
      <c r="BH37" s="265"/>
      <c r="BI37" s="268"/>
      <c r="BJ37" s="270">
        <f t="shared" si="0"/>
        <v>116630000</v>
      </c>
      <c r="BK37" s="110" t="s">
        <v>323</v>
      </c>
    </row>
    <row r="38" spans="1:66" ht="346.5" thickTop="1" thickBot="1">
      <c r="A38" s="133">
        <v>1</v>
      </c>
      <c r="B38" s="134" t="s">
        <v>6</v>
      </c>
      <c r="C38" s="135" t="s">
        <v>304</v>
      </c>
      <c r="D38" s="135" t="s">
        <v>305</v>
      </c>
      <c r="E38" s="136" t="s">
        <v>114</v>
      </c>
      <c r="F38" s="137" t="s">
        <v>306</v>
      </c>
      <c r="G38" s="136" t="s">
        <v>531</v>
      </c>
      <c r="H38" s="138" t="s">
        <v>532</v>
      </c>
      <c r="I38" s="138" t="s">
        <v>533</v>
      </c>
      <c r="J38" s="113">
        <v>0</v>
      </c>
      <c r="K38" s="112">
        <v>1</v>
      </c>
      <c r="L38" s="86" t="s">
        <v>534</v>
      </c>
      <c r="M38" s="682" t="s">
        <v>535</v>
      </c>
      <c r="N38" s="87">
        <v>53</v>
      </c>
      <c r="O38" s="88" t="s">
        <v>536</v>
      </c>
      <c r="P38" s="89" t="s">
        <v>537</v>
      </c>
      <c r="Q38" s="90" t="s">
        <v>11</v>
      </c>
      <c r="R38" s="91">
        <v>19</v>
      </c>
      <c r="S38" s="92" t="s">
        <v>19</v>
      </c>
      <c r="T38" s="93">
        <v>1905</v>
      </c>
      <c r="U38" s="94" t="s">
        <v>53</v>
      </c>
      <c r="V38" s="95">
        <v>1905030</v>
      </c>
      <c r="W38" s="111" t="s">
        <v>538</v>
      </c>
      <c r="X38" s="95">
        <v>190503000</v>
      </c>
      <c r="Y38" s="111" t="s">
        <v>54</v>
      </c>
      <c r="Z38" s="139" t="s">
        <v>316</v>
      </c>
      <c r="AA38" s="304" t="s">
        <v>539</v>
      </c>
      <c r="AB38" s="100" t="s">
        <v>341</v>
      </c>
      <c r="AC38" s="99" t="s">
        <v>342</v>
      </c>
      <c r="AD38" s="101" t="s">
        <v>319</v>
      </c>
      <c r="AE38" s="99" t="s">
        <v>320</v>
      </c>
      <c r="AF38" s="147">
        <v>0</v>
      </c>
      <c r="AG38" s="103">
        <v>1</v>
      </c>
      <c r="AH38" s="104">
        <v>1</v>
      </c>
      <c r="AI38" s="104">
        <v>1</v>
      </c>
      <c r="AJ38" s="104">
        <v>1</v>
      </c>
      <c r="AK38" s="105">
        <v>1</v>
      </c>
      <c r="AL38" s="122" t="s">
        <v>355</v>
      </c>
      <c r="AM38" s="107" t="s">
        <v>356</v>
      </c>
      <c r="AN38" s="108"/>
      <c r="AO38" s="108"/>
      <c r="AP38" s="108"/>
      <c r="AQ38" s="108"/>
      <c r="AR38" s="108"/>
      <c r="AS38" s="108"/>
      <c r="AT38" s="265"/>
      <c r="AU38" s="265"/>
      <c r="AV38" s="265"/>
      <c r="AW38" s="273"/>
      <c r="AX38" s="265"/>
      <c r="AY38" s="282">
        <f>12077200</f>
        <v>12077200</v>
      </c>
      <c r="AZ38" s="268"/>
      <c r="BA38" s="268"/>
      <c r="BB38" s="268"/>
      <c r="BC38" s="268"/>
      <c r="BD38" s="265"/>
      <c r="BE38" s="265"/>
      <c r="BF38" s="265"/>
      <c r="BG38" s="265"/>
      <c r="BH38" s="265"/>
      <c r="BI38" s="286"/>
      <c r="BJ38" s="270">
        <f t="shared" si="0"/>
        <v>12077200</v>
      </c>
      <c r="BK38" s="110" t="s">
        <v>323</v>
      </c>
    </row>
    <row r="39" spans="1:66" ht="346.5" thickTop="1" thickBot="1">
      <c r="A39" s="133">
        <v>1</v>
      </c>
      <c r="B39" s="134" t="s">
        <v>6</v>
      </c>
      <c r="C39" s="135" t="s">
        <v>304</v>
      </c>
      <c r="D39" s="135" t="s">
        <v>305</v>
      </c>
      <c r="E39" s="136" t="s">
        <v>114</v>
      </c>
      <c r="F39" s="137" t="s">
        <v>306</v>
      </c>
      <c r="G39" s="136" t="s">
        <v>531</v>
      </c>
      <c r="H39" s="138" t="s">
        <v>52</v>
      </c>
      <c r="I39" s="138" t="s">
        <v>540</v>
      </c>
      <c r="J39" s="113">
        <v>0</v>
      </c>
      <c r="K39" s="112">
        <v>1</v>
      </c>
      <c r="L39" s="86" t="s">
        <v>534</v>
      </c>
      <c r="M39" s="682"/>
      <c r="N39" s="87">
        <v>54</v>
      </c>
      <c r="O39" s="88" t="s">
        <v>541</v>
      </c>
      <c r="P39" s="89" t="s">
        <v>542</v>
      </c>
      <c r="Q39" s="90" t="s">
        <v>11</v>
      </c>
      <c r="R39" s="91">
        <v>19</v>
      </c>
      <c r="S39" s="92" t="s">
        <v>19</v>
      </c>
      <c r="T39" s="93">
        <v>1905</v>
      </c>
      <c r="U39" s="92" t="s">
        <v>55</v>
      </c>
      <c r="V39" s="93">
        <v>1905005</v>
      </c>
      <c r="W39" s="92" t="s">
        <v>543</v>
      </c>
      <c r="X39" s="93">
        <v>190500500</v>
      </c>
      <c r="Y39" s="92" t="s">
        <v>55</v>
      </c>
      <c r="Z39" s="139" t="s">
        <v>316</v>
      </c>
      <c r="AA39" s="304" t="s">
        <v>544</v>
      </c>
      <c r="AB39" s="100" t="s">
        <v>341</v>
      </c>
      <c r="AC39" s="99" t="s">
        <v>342</v>
      </c>
      <c r="AD39" s="101" t="s">
        <v>319</v>
      </c>
      <c r="AE39" s="99" t="s">
        <v>320</v>
      </c>
      <c r="AF39" s="188">
        <v>1</v>
      </c>
      <c r="AG39" s="103">
        <v>1</v>
      </c>
      <c r="AH39" s="104">
        <v>1</v>
      </c>
      <c r="AI39" s="104">
        <v>1</v>
      </c>
      <c r="AJ39" s="104">
        <v>1</v>
      </c>
      <c r="AK39" s="105">
        <v>1</v>
      </c>
      <c r="AL39" s="122" t="s">
        <v>355</v>
      </c>
      <c r="AM39" s="107" t="s">
        <v>356</v>
      </c>
      <c r="AN39" s="108"/>
      <c r="AO39" s="108"/>
      <c r="AP39" s="108"/>
      <c r="AQ39" s="108"/>
      <c r="AR39" s="108"/>
      <c r="AS39" s="108"/>
      <c r="AT39" s="265"/>
      <c r="AU39" s="265"/>
      <c r="AV39" s="273"/>
      <c r="AW39" s="274">
        <f>330400000</f>
        <v>330400000</v>
      </c>
      <c r="AX39" s="265"/>
      <c r="AY39" s="283"/>
      <c r="AZ39" s="268"/>
      <c r="BA39" s="268"/>
      <c r="BB39" s="268"/>
      <c r="BC39" s="268"/>
      <c r="BD39" s="265"/>
      <c r="BE39" s="265"/>
      <c r="BF39" s="265"/>
      <c r="BG39" s="265"/>
      <c r="BH39" s="265"/>
      <c r="BI39" s="268"/>
      <c r="BJ39" s="270">
        <f t="shared" si="0"/>
        <v>330400000</v>
      </c>
      <c r="BK39" s="110" t="s">
        <v>323</v>
      </c>
    </row>
    <row r="40" spans="1:66" ht="346.5" thickTop="1" thickBot="1">
      <c r="A40" s="133">
        <v>1</v>
      </c>
      <c r="B40" s="134" t="s">
        <v>6</v>
      </c>
      <c r="C40" s="135" t="s">
        <v>304</v>
      </c>
      <c r="D40" s="135" t="s">
        <v>305</v>
      </c>
      <c r="E40" s="136" t="s">
        <v>114</v>
      </c>
      <c r="F40" s="137" t="s">
        <v>306</v>
      </c>
      <c r="G40" s="197" t="s">
        <v>545</v>
      </c>
      <c r="H40" s="138" t="s">
        <v>546</v>
      </c>
      <c r="I40" s="138" t="s">
        <v>547</v>
      </c>
      <c r="J40" s="113">
        <v>0</v>
      </c>
      <c r="K40" s="112">
        <v>1</v>
      </c>
      <c r="L40" s="87" t="s">
        <v>548</v>
      </c>
      <c r="M40" s="87" t="s">
        <v>549</v>
      </c>
      <c r="N40" s="87">
        <v>55</v>
      </c>
      <c r="O40" s="88" t="s">
        <v>550</v>
      </c>
      <c r="P40" s="88" t="s">
        <v>551</v>
      </c>
      <c r="Q40" s="90" t="s">
        <v>11</v>
      </c>
      <c r="R40" s="91">
        <v>19</v>
      </c>
      <c r="S40" s="92" t="s">
        <v>12</v>
      </c>
      <c r="T40" s="93">
        <v>1906</v>
      </c>
      <c r="U40" s="94" t="s">
        <v>13</v>
      </c>
      <c r="V40" s="95" t="s">
        <v>487</v>
      </c>
      <c r="W40" s="198" t="s">
        <v>488</v>
      </c>
      <c r="X40" s="95" t="s">
        <v>315</v>
      </c>
      <c r="Y40" s="111" t="s">
        <v>14</v>
      </c>
      <c r="Z40" s="139" t="s">
        <v>316</v>
      </c>
      <c r="AA40" s="304" t="s">
        <v>552</v>
      </c>
      <c r="AB40" s="100" t="s">
        <v>341</v>
      </c>
      <c r="AC40" s="99" t="s">
        <v>342</v>
      </c>
      <c r="AD40" s="101" t="s">
        <v>319</v>
      </c>
      <c r="AE40" s="99" t="s">
        <v>320</v>
      </c>
      <c r="AF40" s="147">
        <v>0</v>
      </c>
      <c r="AG40" s="103">
        <v>1</v>
      </c>
      <c r="AH40" s="104">
        <v>1</v>
      </c>
      <c r="AI40" s="104">
        <v>1</v>
      </c>
      <c r="AJ40" s="104">
        <v>1</v>
      </c>
      <c r="AK40" s="105">
        <v>1</v>
      </c>
      <c r="AL40" s="106" t="s">
        <v>321</v>
      </c>
      <c r="AM40" s="107" t="s">
        <v>322</v>
      </c>
      <c r="AN40" s="108"/>
      <c r="AO40" s="108"/>
      <c r="AP40" s="108"/>
      <c r="AQ40" s="108"/>
      <c r="AR40" s="108"/>
      <c r="AS40" s="108"/>
      <c r="AT40" s="265"/>
      <c r="AU40" s="265"/>
      <c r="AV40" s="265"/>
      <c r="AW40" s="265"/>
      <c r="AX40" s="265"/>
      <c r="AY40" s="282">
        <f>3604848</f>
        <v>3604848</v>
      </c>
      <c r="AZ40" s="268"/>
      <c r="BA40" s="268"/>
      <c r="BB40" s="268"/>
      <c r="BC40" s="268"/>
      <c r="BD40" s="265"/>
      <c r="BE40" s="265"/>
      <c r="BF40" s="265"/>
      <c r="BG40" s="265"/>
      <c r="BH40" s="265"/>
      <c r="BI40" s="268"/>
      <c r="BJ40" s="270">
        <f t="shared" si="0"/>
        <v>3604848</v>
      </c>
      <c r="BK40" s="110" t="s">
        <v>323</v>
      </c>
    </row>
    <row r="41" spans="1:66" ht="346.5" thickTop="1" thickBot="1">
      <c r="A41" s="133">
        <v>1</v>
      </c>
      <c r="B41" s="134" t="s">
        <v>6</v>
      </c>
      <c r="C41" s="135" t="s">
        <v>304</v>
      </c>
      <c r="D41" s="135" t="s">
        <v>305</v>
      </c>
      <c r="E41" s="136" t="s">
        <v>114</v>
      </c>
      <c r="F41" s="137" t="s">
        <v>306</v>
      </c>
      <c r="G41" s="199" t="s">
        <v>553</v>
      </c>
      <c r="H41" s="138" t="s">
        <v>554</v>
      </c>
      <c r="I41" s="138" t="s">
        <v>555</v>
      </c>
      <c r="J41" s="113">
        <v>0</v>
      </c>
      <c r="K41" s="112">
        <v>1</v>
      </c>
      <c r="L41" s="86" t="s">
        <v>556</v>
      </c>
      <c r="M41" s="682" t="s">
        <v>557</v>
      </c>
      <c r="N41" s="87">
        <v>56</v>
      </c>
      <c r="O41" s="88" t="s">
        <v>558</v>
      </c>
      <c r="P41" s="200" t="s">
        <v>559</v>
      </c>
      <c r="Q41" s="90" t="s">
        <v>11</v>
      </c>
      <c r="R41" s="91">
        <v>19</v>
      </c>
      <c r="S41" s="201" t="s">
        <v>23</v>
      </c>
      <c r="T41" s="91">
        <v>1903</v>
      </c>
      <c r="U41" s="94" t="s">
        <v>8</v>
      </c>
      <c r="V41" s="95">
        <v>1903034</v>
      </c>
      <c r="W41" s="111" t="s">
        <v>560</v>
      </c>
      <c r="X41" s="95">
        <v>190303400</v>
      </c>
      <c r="Y41" s="111" t="s">
        <v>31</v>
      </c>
      <c r="Z41" s="139" t="s">
        <v>316</v>
      </c>
      <c r="AA41" s="304" t="s">
        <v>561</v>
      </c>
      <c r="AB41" s="100" t="s">
        <v>562</v>
      </c>
      <c r="AC41" s="99" t="s">
        <v>563</v>
      </c>
      <c r="AD41" s="101" t="s">
        <v>319</v>
      </c>
      <c r="AE41" s="99" t="s">
        <v>320</v>
      </c>
      <c r="AF41" s="159">
        <v>1</v>
      </c>
      <c r="AG41" s="103">
        <v>1</v>
      </c>
      <c r="AH41" s="104">
        <v>1</v>
      </c>
      <c r="AI41" s="104">
        <v>1</v>
      </c>
      <c r="AJ41" s="104">
        <v>1</v>
      </c>
      <c r="AK41" s="105">
        <v>1</v>
      </c>
      <c r="AL41" s="123" t="s">
        <v>362</v>
      </c>
      <c r="AM41" s="124" t="s">
        <v>363</v>
      </c>
      <c r="AN41" s="108"/>
      <c r="AO41" s="108"/>
      <c r="AP41" s="108"/>
      <c r="AQ41" s="108"/>
      <c r="AR41" s="108"/>
      <c r="AS41" s="108"/>
      <c r="AT41" s="265"/>
      <c r="AU41" s="265"/>
      <c r="AV41" s="265"/>
      <c r="AW41" s="265"/>
      <c r="AX41" s="265"/>
      <c r="AY41" s="282">
        <f>61421500</f>
        <v>61421500</v>
      </c>
      <c r="AZ41" s="268"/>
      <c r="BA41" s="268"/>
      <c r="BB41" s="268"/>
      <c r="BC41" s="268"/>
      <c r="BD41" s="265"/>
      <c r="BE41" s="265"/>
      <c r="BF41" s="265"/>
      <c r="BG41" s="265"/>
      <c r="BH41" s="265"/>
      <c r="BI41" s="268"/>
      <c r="BJ41" s="270">
        <f t="shared" si="0"/>
        <v>61421500</v>
      </c>
      <c r="BK41" s="110" t="s">
        <v>323</v>
      </c>
    </row>
    <row r="42" spans="1:66" ht="348" thickTop="1" thickBot="1">
      <c r="A42" s="133">
        <v>1</v>
      </c>
      <c r="B42" s="134" t="s">
        <v>6</v>
      </c>
      <c r="C42" s="135" t="s">
        <v>304</v>
      </c>
      <c r="D42" s="135" t="s">
        <v>305</v>
      </c>
      <c r="E42" s="136" t="s">
        <v>114</v>
      </c>
      <c r="F42" s="137" t="s">
        <v>306</v>
      </c>
      <c r="G42" s="199" t="s">
        <v>553</v>
      </c>
      <c r="H42" s="138" t="s">
        <v>564</v>
      </c>
      <c r="I42" s="138" t="s">
        <v>565</v>
      </c>
      <c r="J42" s="113">
        <v>0</v>
      </c>
      <c r="K42" s="112">
        <v>1</v>
      </c>
      <c r="L42" s="86" t="s">
        <v>556</v>
      </c>
      <c r="M42" s="682"/>
      <c r="N42" s="87">
        <v>57</v>
      </c>
      <c r="O42" s="88" t="s">
        <v>566</v>
      </c>
      <c r="P42" s="200" t="s">
        <v>567</v>
      </c>
      <c r="Q42" s="90" t="s">
        <v>11</v>
      </c>
      <c r="R42" s="91">
        <v>19</v>
      </c>
      <c r="S42" s="201" t="s">
        <v>23</v>
      </c>
      <c r="T42" s="91">
        <v>1903</v>
      </c>
      <c r="U42" s="201" t="s">
        <v>29</v>
      </c>
      <c r="V42" s="91">
        <v>1903016</v>
      </c>
      <c r="W42" s="201" t="s">
        <v>568</v>
      </c>
      <c r="X42" s="91">
        <v>190301600</v>
      </c>
      <c r="Y42" s="201" t="s">
        <v>30</v>
      </c>
      <c r="Z42" s="139" t="s">
        <v>316</v>
      </c>
      <c r="AA42" s="304" t="s">
        <v>569</v>
      </c>
      <c r="AB42" s="100" t="s">
        <v>562</v>
      </c>
      <c r="AC42" s="99" t="s">
        <v>563</v>
      </c>
      <c r="AD42" s="101" t="s">
        <v>319</v>
      </c>
      <c r="AE42" s="99" t="s">
        <v>320</v>
      </c>
      <c r="AF42" s="147">
        <v>0</v>
      </c>
      <c r="AG42" s="103">
        <v>1</v>
      </c>
      <c r="AH42" s="104">
        <v>1</v>
      </c>
      <c r="AI42" s="104">
        <v>1</v>
      </c>
      <c r="AJ42" s="104">
        <v>1</v>
      </c>
      <c r="AK42" s="105">
        <v>1</v>
      </c>
      <c r="AL42" s="181" t="s">
        <v>362</v>
      </c>
      <c r="AM42" s="107" t="s">
        <v>363</v>
      </c>
      <c r="AN42" s="108"/>
      <c r="AO42" s="108"/>
      <c r="AP42" s="108"/>
      <c r="AQ42" s="108"/>
      <c r="AR42" s="108"/>
      <c r="AS42" s="108"/>
      <c r="AT42" s="265"/>
      <c r="AU42" s="265"/>
      <c r="AV42" s="265"/>
      <c r="AW42" s="284">
        <f>30000000</f>
        <v>30000000</v>
      </c>
      <c r="AX42" s="265"/>
      <c r="AY42" s="282">
        <f>135964611.84</f>
        <v>135964611.84</v>
      </c>
      <c r="AZ42" s="268"/>
      <c r="BA42" s="268"/>
      <c r="BB42" s="268"/>
      <c r="BC42" s="268"/>
      <c r="BD42" s="265"/>
      <c r="BE42" s="265"/>
      <c r="BF42" s="265"/>
      <c r="BG42" s="265"/>
      <c r="BH42" s="265"/>
      <c r="BI42" s="268"/>
      <c r="BJ42" s="270">
        <f t="shared" si="0"/>
        <v>165964611.84</v>
      </c>
      <c r="BK42" s="110" t="s">
        <v>323</v>
      </c>
    </row>
    <row r="43" spans="1:66" ht="346.5" thickTop="1" thickBot="1">
      <c r="A43" s="133">
        <v>1</v>
      </c>
      <c r="B43" s="134" t="s">
        <v>6</v>
      </c>
      <c r="C43" s="82" t="s">
        <v>304</v>
      </c>
      <c r="D43" s="82" t="s">
        <v>305</v>
      </c>
      <c r="E43" s="83" t="s">
        <v>114</v>
      </c>
      <c r="F43" s="84" t="s">
        <v>306</v>
      </c>
      <c r="G43" s="202" t="s">
        <v>570</v>
      </c>
      <c r="H43" s="85" t="s">
        <v>571</v>
      </c>
      <c r="I43" s="85" t="s">
        <v>572</v>
      </c>
      <c r="J43" s="163">
        <v>0</v>
      </c>
      <c r="K43" s="164">
        <v>1</v>
      </c>
      <c r="L43" s="89" t="s">
        <v>573</v>
      </c>
      <c r="M43" s="89" t="s">
        <v>574</v>
      </c>
      <c r="N43" s="87">
        <v>58</v>
      </c>
      <c r="O43" s="88" t="s">
        <v>575</v>
      </c>
      <c r="P43" s="89" t="s">
        <v>576</v>
      </c>
      <c r="Q43" s="90" t="s">
        <v>11</v>
      </c>
      <c r="R43" s="91">
        <v>19</v>
      </c>
      <c r="S43" s="92" t="s">
        <v>12</v>
      </c>
      <c r="T43" s="93">
        <v>1906</v>
      </c>
      <c r="U43" s="92" t="s">
        <v>15</v>
      </c>
      <c r="V43" s="93">
        <v>1906026</v>
      </c>
      <c r="W43" s="92" t="s">
        <v>577</v>
      </c>
      <c r="X43" s="93">
        <v>190602601</v>
      </c>
      <c r="Y43" s="92" t="s">
        <v>9</v>
      </c>
      <c r="Z43" s="139" t="s">
        <v>316</v>
      </c>
      <c r="AA43" s="304" t="s">
        <v>575</v>
      </c>
      <c r="AB43" s="100" t="s">
        <v>578</v>
      </c>
      <c r="AC43" s="99" t="s">
        <v>579</v>
      </c>
      <c r="AD43" s="99" t="s">
        <v>580</v>
      </c>
      <c r="AE43" s="99" t="s">
        <v>581</v>
      </c>
      <c r="AF43" s="147">
        <v>0</v>
      </c>
      <c r="AG43" s="159">
        <v>1</v>
      </c>
      <c r="AH43" s="160">
        <v>1</v>
      </c>
      <c r="AI43" s="104">
        <v>1</v>
      </c>
      <c r="AJ43" s="104">
        <v>1</v>
      </c>
      <c r="AK43" s="105">
        <v>1</v>
      </c>
      <c r="AL43" s="115"/>
      <c r="AM43" s="203"/>
      <c r="AN43" s="108"/>
      <c r="AO43" s="108"/>
      <c r="AP43" s="108"/>
      <c r="AQ43" s="108"/>
      <c r="AR43" s="108"/>
      <c r="AS43" s="108"/>
      <c r="AT43" s="273"/>
      <c r="AU43" s="265"/>
      <c r="AV43" s="265"/>
      <c r="AW43" s="265"/>
      <c r="AX43" s="265"/>
      <c r="AY43" s="283"/>
      <c r="AZ43" s="268"/>
      <c r="BA43" s="268"/>
      <c r="BB43" s="268"/>
      <c r="BC43" s="268"/>
      <c r="BD43" s="265"/>
      <c r="BE43" s="265"/>
      <c r="BF43" s="265"/>
      <c r="BG43" s="265"/>
      <c r="BH43" s="265"/>
      <c r="BI43" s="268"/>
      <c r="BJ43" s="270">
        <f t="shared" si="0"/>
        <v>0</v>
      </c>
      <c r="BK43" s="110" t="s">
        <v>323</v>
      </c>
      <c r="BL43" s="204" t="s">
        <v>114</v>
      </c>
    </row>
    <row r="44" spans="1:66" ht="135.75" thickTop="1">
      <c r="A44" s="133"/>
      <c r="B44" s="134" t="s">
        <v>6</v>
      </c>
      <c r="C44" s="135"/>
      <c r="D44" s="135"/>
      <c r="E44" s="136"/>
      <c r="F44" s="137"/>
      <c r="G44" s="199"/>
      <c r="H44" s="138"/>
      <c r="I44" s="138"/>
      <c r="J44" s="163"/>
      <c r="K44" s="164"/>
      <c r="L44" s="86"/>
      <c r="M44" s="89"/>
      <c r="N44" s="87"/>
      <c r="O44" s="674" t="s">
        <v>582</v>
      </c>
      <c r="P44" s="675"/>
      <c r="Q44" s="205" t="s">
        <v>11</v>
      </c>
      <c r="R44" s="206">
        <v>19</v>
      </c>
      <c r="S44" s="207" t="s">
        <v>12</v>
      </c>
      <c r="T44" s="208">
        <v>1906</v>
      </c>
      <c r="U44" s="207" t="s">
        <v>111</v>
      </c>
      <c r="V44" s="208">
        <v>1906036</v>
      </c>
      <c r="W44" s="207" t="s">
        <v>583</v>
      </c>
      <c r="X44" s="208">
        <v>190603600</v>
      </c>
      <c r="Y44" s="207" t="s">
        <v>584</v>
      </c>
      <c r="Z44" s="209" t="s">
        <v>316</v>
      </c>
      <c r="AA44" s="308" t="s">
        <v>585</v>
      </c>
      <c r="AB44" s="100"/>
      <c r="AC44" s="99"/>
      <c r="AD44" s="99"/>
      <c r="AE44" s="99"/>
      <c r="AF44" s="147"/>
      <c r="AG44" s="159"/>
      <c r="AH44" s="160"/>
      <c r="AI44" s="104"/>
      <c r="AJ44" s="104"/>
      <c r="AK44" s="105"/>
      <c r="AL44" s="210" t="s">
        <v>586</v>
      </c>
      <c r="AM44" s="107" t="s">
        <v>587</v>
      </c>
      <c r="AN44" s="108"/>
      <c r="AO44" s="108"/>
      <c r="AP44" s="108"/>
      <c r="AQ44" s="211"/>
      <c r="AR44" s="108"/>
      <c r="AS44" s="108"/>
      <c r="AT44" s="273"/>
      <c r="AU44" s="265"/>
      <c r="AV44" s="265"/>
      <c r="AW44" s="273"/>
      <c r="AX44" s="265"/>
      <c r="AY44" s="283"/>
      <c r="AZ44" s="268"/>
      <c r="BA44" s="268"/>
      <c r="BB44" s="287"/>
      <c r="BC44" s="268"/>
      <c r="BD44" s="265"/>
      <c r="BE44" s="265"/>
      <c r="BF44" s="265"/>
      <c r="BG44" s="265"/>
      <c r="BH44" s="265"/>
      <c r="BI44" s="287"/>
      <c r="BJ44" s="270">
        <f t="shared" si="0"/>
        <v>0</v>
      </c>
      <c r="BK44" s="110" t="s">
        <v>323</v>
      </c>
      <c r="BL44" s="212">
        <f>BJ7+BJ8+BJ9+BJ10+BJ11+BJ12+BJ13+BJ14+BJ15+BJ16+BJ17+BJ18+BJ19+BJ20+BJ21+BJ22+BJ23+BJ24+BJ25+BJ26+BJ27+BJ28+BJ29+BJ30+BJ31+BJ32+BJ33+BJ34+BJ35+BJ36+BJ37+BJ38+BJ39+BJ40+BJ41+BJ42+BJ43+BJ44</f>
        <v>124674278940.60963</v>
      </c>
    </row>
    <row r="45" spans="1:66" ht="16.5" thickBot="1">
      <c r="A45" s="676" t="s">
        <v>588</v>
      </c>
      <c r="B45" s="676"/>
      <c r="C45" s="676"/>
      <c r="D45" s="676"/>
      <c r="E45" s="676"/>
      <c r="F45" s="676"/>
      <c r="G45" s="676"/>
      <c r="H45" s="676"/>
      <c r="I45" s="676"/>
      <c r="J45" s="676"/>
      <c r="K45" s="676"/>
      <c r="L45" s="676"/>
      <c r="M45" s="676"/>
      <c r="N45" s="676"/>
      <c r="O45" s="676"/>
      <c r="P45" s="676"/>
      <c r="Q45" s="676"/>
      <c r="R45" s="676"/>
      <c r="S45" s="676"/>
      <c r="T45" s="676"/>
      <c r="U45" s="676"/>
      <c r="V45" s="676"/>
      <c r="W45" s="676"/>
      <c r="X45" s="676"/>
      <c r="Y45" s="676"/>
      <c r="Z45" s="676"/>
      <c r="AA45" s="676"/>
      <c r="AB45" s="677"/>
      <c r="AC45" s="677"/>
      <c r="AD45" s="677"/>
      <c r="AE45" s="677"/>
      <c r="AF45" s="677"/>
      <c r="AG45" s="677"/>
      <c r="AH45" s="677"/>
      <c r="AI45" s="677"/>
      <c r="AJ45" s="677"/>
      <c r="AK45" s="677"/>
      <c r="AL45" s="677"/>
      <c r="AM45" s="678"/>
      <c r="AN45" s="213">
        <f t="shared" ref="AN45:BI45" si="1">SUM(AN7:AN44)</f>
        <v>0</v>
      </c>
      <c r="AO45" s="213">
        <f t="shared" si="1"/>
        <v>0</v>
      </c>
      <c r="AP45" s="213">
        <f t="shared" si="1"/>
        <v>0</v>
      </c>
      <c r="AQ45" s="213">
        <f t="shared" si="1"/>
        <v>0</v>
      </c>
      <c r="AR45" s="213">
        <f t="shared" si="1"/>
        <v>0</v>
      </c>
      <c r="AS45" s="213">
        <f t="shared" si="1"/>
        <v>0</v>
      </c>
      <c r="AT45" s="288">
        <f t="shared" si="1"/>
        <v>34315268841.806202</v>
      </c>
      <c r="AU45" s="288">
        <f t="shared" si="1"/>
        <v>200000000</v>
      </c>
      <c r="AV45" s="288">
        <f t="shared" si="1"/>
        <v>0</v>
      </c>
      <c r="AW45" s="288">
        <f t="shared" si="1"/>
        <v>720400000</v>
      </c>
      <c r="AX45" s="288">
        <f t="shared" si="1"/>
        <v>64693848545.529999</v>
      </c>
      <c r="AY45" s="288">
        <f t="shared" si="1"/>
        <v>1893124775.4431</v>
      </c>
      <c r="AZ45" s="288">
        <f t="shared" si="1"/>
        <v>22324284376.820801</v>
      </c>
      <c r="BA45" s="288">
        <f t="shared" si="1"/>
        <v>421210896.67699999</v>
      </c>
      <c r="BB45" s="288">
        <f t="shared" si="1"/>
        <v>0</v>
      </c>
      <c r="BC45" s="288">
        <f t="shared" si="1"/>
        <v>0</v>
      </c>
      <c r="BD45" s="288">
        <f t="shared" si="1"/>
        <v>0</v>
      </c>
      <c r="BE45" s="288">
        <f t="shared" si="1"/>
        <v>0</v>
      </c>
      <c r="BF45" s="288">
        <f t="shared" si="1"/>
        <v>0</v>
      </c>
      <c r="BG45" s="288">
        <f t="shared" si="1"/>
        <v>0</v>
      </c>
      <c r="BH45" s="288">
        <f t="shared" si="1"/>
        <v>0</v>
      </c>
      <c r="BI45" s="288">
        <f t="shared" si="1"/>
        <v>106141504.3325</v>
      </c>
      <c r="BJ45" s="214">
        <f>SUM(AN45:BI45)</f>
        <v>124674278940.6096</v>
      </c>
      <c r="BK45" s="215"/>
      <c r="BL45" s="216"/>
    </row>
    <row r="46" spans="1:66" ht="16.5" thickTop="1">
      <c r="O46"/>
      <c r="P46"/>
      <c r="Q46"/>
      <c r="R46" s="59"/>
      <c r="S46"/>
      <c r="T46" s="7"/>
      <c r="U46" s="12"/>
      <c r="V46" s="7"/>
      <c r="W46"/>
      <c r="X46" s="59"/>
      <c r="Y46"/>
      <c r="Z46"/>
      <c r="AB46"/>
      <c r="AC46"/>
      <c r="AD46"/>
      <c r="AE46"/>
      <c r="BM46" s="603" t="s">
        <v>589</v>
      </c>
      <c r="BN46" s="220" t="e">
        <f>#REF!+#REF!+#REF!</f>
        <v>#REF!</v>
      </c>
    </row>
    <row r="47" spans="1:66">
      <c r="O47"/>
      <c r="P47"/>
      <c r="Q47"/>
      <c r="R47" s="59"/>
      <c r="S47"/>
      <c r="T47" s="7"/>
      <c r="U47" s="12"/>
      <c r="V47" s="7"/>
      <c r="W47"/>
      <c r="X47" s="59"/>
      <c r="Y47"/>
      <c r="Z47"/>
      <c r="AB47"/>
      <c r="AC47"/>
      <c r="AD47"/>
      <c r="AE47"/>
      <c r="BI47" s="681" t="s">
        <v>590</v>
      </c>
      <c r="BJ47" s="681"/>
      <c r="BK47" s="221">
        <f>BJ48-BJ45</f>
        <v>140007667417.45398</v>
      </c>
      <c r="BL47" s="222"/>
      <c r="BM47" s="604" t="s">
        <v>591</v>
      </c>
    </row>
    <row r="48" spans="1:66" ht="16.5" thickBot="1">
      <c r="O48"/>
      <c r="P48"/>
      <c r="Q48"/>
      <c r="R48" s="59"/>
      <c r="S48"/>
      <c r="T48" s="7"/>
      <c r="U48" s="12"/>
      <c r="V48" s="7"/>
      <c r="W48"/>
      <c r="X48" s="59"/>
      <c r="Y48"/>
      <c r="Z48"/>
      <c r="AB48"/>
      <c r="AC48"/>
      <c r="AD48"/>
      <c r="AE48"/>
      <c r="AN48" s="223">
        <v>284675628.58560002</v>
      </c>
      <c r="AO48" s="223">
        <v>3659332030.5279999</v>
      </c>
      <c r="AP48" s="223">
        <v>2437485936.3535495</v>
      </c>
      <c r="AQ48" s="223">
        <v>484163396.85000002</v>
      </c>
      <c r="AR48" s="223">
        <v>645551195.10000002</v>
      </c>
      <c r="AS48" s="223">
        <v>87790722130.733047</v>
      </c>
      <c r="AT48" s="289">
        <v>34315268841.799999</v>
      </c>
      <c r="AU48" s="289">
        <v>4132736357.6500006</v>
      </c>
      <c r="AV48" s="288">
        <v>0</v>
      </c>
      <c r="AW48" s="289">
        <v>22318595379.390297</v>
      </c>
      <c r="AX48" s="289">
        <v>64693848545.533699</v>
      </c>
      <c r="AY48" s="289">
        <v>1893124775.4431</v>
      </c>
      <c r="AZ48" s="289">
        <v>22324284376.820801</v>
      </c>
      <c r="BA48" s="289">
        <v>421210896.67699999</v>
      </c>
      <c r="BB48" s="289">
        <v>500677462.79879743</v>
      </c>
      <c r="BC48" s="289">
        <v>995348895.95047891</v>
      </c>
      <c r="BD48" s="289">
        <v>907956664.15850008</v>
      </c>
      <c r="BE48" s="289">
        <v>1368505270.4929795</v>
      </c>
      <c r="BF48" s="289">
        <v>51448419.799107</v>
      </c>
      <c r="BG48" s="289">
        <v>0</v>
      </c>
      <c r="BH48" s="289">
        <v>0</v>
      </c>
      <c r="BI48" s="289">
        <v>15457010153.398628</v>
      </c>
      <c r="BJ48" s="290">
        <f>SUM(AN48:BI48)</f>
        <v>264681946358.06357</v>
      </c>
      <c r="BK48" s="224"/>
      <c r="BL48" s="224" t="s">
        <v>592</v>
      </c>
    </row>
    <row r="49" spans="1:64" ht="16.5" thickTop="1">
      <c r="AM49" s="116" t="s">
        <v>592</v>
      </c>
      <c r="AN49" s="229">
        <f>AN45-AN48</f>
        <v>-284675628.58560002</v>
      </c>
      <c r="AO49" s="229">
        <f t="shared" ref="AO49:BI49" si="2">AO45-AO48</f>
        <v>-3659332030.5279999</v>
      </c>
      <c r="AP49" s="229">
        <f t="shared" si="2"/>
        <v>-2437485936.3535495</v>
      </c>
      <c r="AQ49" s="229">
        <f t="shared" si="2"/>
        <v>-484163396.85000002</v>
      </c>
      <c r="AR49" s="229">
        <f t="shared" si="2"/>
        <v>-645551195.10000002</v>
      </c>
      <c r="AS49" s="229">
        <f t="shared" si="2"/>
        <v>-87790722130.733047</v>
      </c>
      <c r="AT49" s="291">
        <f>AT45-AT48</f>
        <v>6.20269775390625E-3</v>
      </c>
      <c r="AU49" s="292">
        <f t="shared" si="2"/>
        <v>-3932736357.6500006</v>
      </c>
      <c r="AV49" s="291">
        <f t="shared" si="2"/>
        <v>0</v>
      </c>
      <c r="AW49" s="291">
        <f t="shared" si="2"/>
        <v>-21598195379.390297</v>
      </c>
      <c r="AX49" s="291">
        <f t="shared" si="2"/>
        <v>-3.70025634765625E-3</v>
      </c>
      <c r="AY49" s="291">
        <f t="shared" si="2"/>
        <v>0</v>
      </c>
      <c r="AZ49" s="291">
        <f t="shared" si="2"/>
        <v>0</v>
      </c>
      <c r="BA49" s="291">
        <f t="shared" si="2"/>
        <v>0</v>
      </c>
      <c r="BB49" s="291">
        <f t="shared" si="2"/>
        <v>-500677462.79879743</v>
      </c>
      <c r="BC49" s="291">
        <f t="shared" si="2"/>
        <v>-995348895.95047891</v>
      </c>
      <c r="BD49" s="291">
        <f t="shared" si="2"/>
        <v>-907956664.15850008</v>
      </c>
      <c r="BE49" s="291">
        <f t="shared" si="2"/>
        <v>-1368505270.4929795</v>
      </c>
      <c r="BF49" s="291">
        <f t="shared" si="2"/>
        <v>-51448419.799107</v>
      </c>
      <c r="BG49" s="293">
        <f t="shared" si="2"/>
        <v>0</v>
      </c>
      <c r="BH49" s="293">
        <f t="shared" si="2"/>
        <v>0</v>
      </c>
      <c r="BI49" s="291">
        <f t="shared" si="2"/>
        <v>-15350868649.066128</v>
      </c>
      <c r="BJ49" s="294">
        <f>BJ45-BJ48</f>
        <v>-140007667417.45398</v>
      </c>
      <c r="BK49" s="230"/>
      <c r="BL49" s="231">
        <f>BJ45-BL47</f>
        <v>124674278940.6096</v>
      </c>
    </row>
    <row r="50" spans="1:64">
      <c r="BK50" s="232"/>
    </row>
    <row r="51" spans="1:64">
      <c r="AN51" s="233"/>
      <c r="AO51" s="233"/>
      <c r="AP51" s="233"/>
      <c r="AQ51" s="233"/>
      <c r="AR51" s="233"/>
      <c r="AS51" s="233"/>
      <c r="AT51" s="295"/>
      <c r="AU51" s="295"/>
      <c r="AV51" s="295"/>
      <c r="AW51" s="295"/>
      <c r="AX51" s="295"/>
      <c r="AY51" s="295"/>
      <c r="AZ51" s="295"/>
      <c r="BA51" s="295"/>
      <c r="BB51" s="295"/>
      <c r="BC51" s="295"/>
      <c r="BD51" s="295"/>
      <c r="BE51" s="295"/>
      <c r="BF51" s="295"/>
      <c r="BG51" s="295"/>
      <c r="BH51" s="296"/>
      <c r="BI51" s="296"/>
      <c r="BJ51" s="297">
        <f>SUM(AN51:BI51)</f>
        <v>0</v>
      </c>
      <c r="BK51" s="234"/>
      <c r="BL51" s="121"/>
    </row>
    <row r="52" spans="1:64" s="219" customFormat="1" ht="16.5" thickBot="1">
      <c r="A52" s="204"/>
      <c r="B52" s="235"/>
      <c r="C52" s="236"/>
      <c r="D52" s="236"/>
      <c r="E52" s="237"/>
      <c r="G52"/>
      <c r="H52" s="238"/>
      <c r="I52"/>
      <c r="J52"/>
      <c r="K52"/>
      <c r="L52"/>
      <c r="M52"/>
      <c r="N52"/>
      <c r="O52" s="225"/>
      <c r="P52" s="225"/>
      <c r="Q52" s="225"/>
      <c r="R52" s="226"/>
      <c r="S52" s="225"/>
      <c r="T52" s="227"/>
      <c r="U52" s="228"/>
      <c r="V52" s="227"/>
      <c r="W52" s="225"/>
      <c r="X52" s="226"/>
      <c r="Y52" s="225"/>
      <c r="Z52" s="225"/>
      <c r="AA52" s="280"/>
      <c r="AB52" s="225"/>
      <c r="AC52" s="225"/>
      <c r="AD52" s="225"/>
      <c r="AE52" s="225"/>
      <c r="AF52" s="116"/>
      <c r="AG52" s="116"/>
      <c r="AH52" s="116"/>
      <c r="AI52" s="116"/>
      <c r="AJ52" s="116"/>
      <c r="AK52" s="116"/>
      <c r="AL52" s="116"/>
      <c r="AM52" s="116"/>
      <c r="AN52"/>
      <c r="AO52"/>
      <c r="AP52"/>
      <c r="AQ52"/>
      <c r="AR52"/>
      <c r="AS52"/>
      <c r="AT52" s="280"/>
      <c r="AU52" s="280"/>
      <c r="AV52" s="280"/>
      <c r="AW52" s="280"/>
      <c r="AX52" s="280"/>
      <c r="AY52" s="280"/>
      <c r="AZ52" s="280"/>
      <c r="BA52" s="280"/>
      <c r="BC52" s="280"/>
      <c r="BD52" s="280"/>
      <c r="BE52" s="280"/>
      <c r="BF52" s="280"/>
      <c r="BG52" s="280"/>
      <c r="BH52" s="298"/>
      <c r="BI52" s="298"/>
      <c r="BJ52" s="298"/>
      <c r="BK52" s="239"/>
      <c r="BL52" s="240"/>
    </row>
    <row r="53" spans="1:64" s="219" customFormat="1">
      <c r="A53" s="204"/>
      <c r="B53" s="241"/>
      <c r="C53" s="242"/>
      <c r="D53" s="242"/>
      <c r="E53" s="237"/>
      <c r="G53"/>
      <c r="H53" s="243"/>
      <c r="I53"/>
      <c r="J53"/>
      <c r="K53"/>
      <c r="L53"/>
      <c r="M53"/>
      <c r="N53"/>
      <c r="O53" s="225"/>
      <c r="P53" s="225"/>
      <c r="Q53" s="225"/>
      <c r="R53" s="226"/>
      <c r="S53" s="225"/>
      <c r="T53" s="227"/>
      <c r="U53" s="228"/>
      <c r="V53" s="227"/>
      <c r="W53" s="225"/>
      <c r="X53" s="226"/>
      <c r="Y53" s="225"/>
      <c r="Z53" s="225"/>
      <c r="AA53" s="280"/>
      <c r="AB53" s="225"/>
      <c r="AC53" s="225"/>
      <c r="AD53" s="225"/>
      <c r="AE53" s="225"/>
      <c r="AF53" s="116"/>
      <c r="AG53" s="116"/>
      <c r="AH53" s="116"/>
      <c r="AI53" s="116"/>
      <c r="AJ53" s="116"/>
      <c r="AK53" s="116"/>
      <c r="AL53" s="116"/>
      <c r="AM53" s="116"/>
      <c r="AN53"/>
      <c r="AO53"/>
      <c r="AP53"/>
      <c r="AQ53"/>
      <c r="AR53"/>
      <c r="AS53"/>
      <c r="AT53" s="280"/>
      <c r="AU53" s="280"/>
      <c r="AV53" s="280"/>
      <c r="AW53" s="280"/>
      <c r="AX53" s="280"/>
      <c r="AY53" s="280"/>
      <c r="AZ53" s="280"/>
      <c r="BA53" s="280"/>
      <c r="BB53" s="280"/>
      <c r="BC53" s="280"/>
      <c r="BD53" s="280"/>
      <c r="BE53" s="280"/>
      <c r="BF53" s="280"/>
      <c r="BG53" s="280"/>
      <c r="BH53" s="298"/>
      <c r="BI53" s="299"/>
      <c r="BJ53" s="299"/>
      <c r="BK53" s="244"/>
      <c r="BL53" s="240"/>
    </row>
    <row r="54" spans="1:64" s="219" customFormat="1">
      <c r="A54" s="204"/>
      <c r="B54" s="245"/>
      <c r="C54" s="242"/>
      <c r="D54" s="242"/>
      <c r="E54" s="237"/>
      <c r="G54"/>
      <c r="H54" s="246"/>
      <c r="I54"/>
      <c r="J54"/>
      <c r="K54"/>
      <c r="L54"/>
      <c r="M54"/>
      <c r="N54"/>
      <c r="O54" s="225"/>
      <c r="P54" s="225"/>
      <c r="Q54" s="225"/>
      <c r="R54" s="226"/>
      <c r="S54" s="225"/>
      <c r="T54" s="227"/>
      <c r="U54" s="228"/>
      <c r="V54" s="227"/>
      <c r="W54" s="225"/>
      <c r="X54" s="226"/>
      <c r="Y54" s="225"/>
      <c r="Z54" s="225"/>
      <c r="AA54" s="280"/>
      <c r="AB54" s="225"/>
      <c r="AC54" s="225"/>
      <c r="AD54" s="225"/>
      <c r="AE54" s="225"/>
      <c r="AF54" s="116"/>
      <c r="AG54" s="116"/>
      <c r="AH54" s="116"/>
      <c r="AI54" s="116"/>
      <c r="AJ54" s="116"/>
      <c r="AK54" s="116"/>
      <c r="AL54" s="116"/>
      <c r="AM54" s="116"/>
      <c r="AN54"/>
      <c r="AO54"/>
      <c r="AP54"/>
      <c r="AQ54"/>
      <c r="AR54"/>
      <c r="AS54"/>
      <c r="AT54" s="280"/>
      <c r="AU54" s="280"/>
      <c r="AV54" s="280"/>
      <c r="AW54" s="300"/>
      <c r="AX54" s="280"/>
      <c r="AY54" s="301"/>
      <c r="AZ54" s="280"/>
      <c r="BA54" s="280"/>
      <c r="BB54" s="280"/>
      <c r="BC54" s="280"/>
      <c r="BD54" s="280"/>
      <c r="BE54" s="280"/>
      <c r="BF54" s="280"/>
      <c r="BG54" s="280"/>
      <c r="BH54" s="298"/>
      <c r="BI54" s="298"/>
      <c r="BJ54" s="298"/>
      <c r="BK54" s="247"/>
      <c r="BL54" s="248"/>
    </row>
    <row r="55" spans="1:64" s="219" customFormat="1">
      <c r="A55" s="204"/>
      <c r="B55" s="249" t="s">
        <v>593</v>
      </c>
      <c r="C55" s="242"/>
      <c r="D55" s="242"/>
      <c r="E55" s="237"/>
      <c r="G55"/>
      <c r="H55" s="250" t="s">
        <v>594</v>
      </c>
      <c r="I55"/>
      <c r="J55"/>
      <c r="K55"/>
      <c r="L55"/>
      <c r="M55"/>
      <c r="N55"/>
      <c r="O55" s="225"/>
      <c r="P55" s="225"/>
      <c r="Q55" s="225"/>
      <c r="R55" s="226"/>
      <c r="S55" s="225"/>
      <c r="T55" s="227"/>
      <c r="U55" s="228"/>
      <c r="V55" s="227"/>
      <c r="W55" s="225"/>
      <c r="X55" s="226"/>
      <c r="Y55" s="225"/>
      <c r="Z55" s="225"/>
      <c r="AA55" s="280"/>
      <c r="AB55" s="225"/>
      <c r="AC55" s="225"/>
      <c r="AD55" s="225"/>
      <c r="AE55" s="225"/>
      <c r="AF55" s="116"/>
      <c r="AG55" s="116"/>
      <c r="AH55" s="116"/>
      <c r="AI55" s="116"/>
      <c r="AJ55" s="116"/>
      <c r="AK55" s="116"/>
      <c r="AL55" s="116"/>
      <c r="AM55" s="116"/>
      <c r="AN55"/>
      <c r="AO55"/>
      <c r="AP55"/>
      <c r="AQ55"/>
      <c r="AR55"/>
      <c r="AS55"/>
      <c r="AT55" s="280"/>
      <c r="AU55" s="280"/>
      <c r="AV55" s="280"/>
      <c r="AW55" s="300"/>
      <c r="AX55" s="280"/>
      <c r="AY55" s="280"/>
      <c r="AZ55" s="280"/>
      <c r="BA55" s="280"/>
      <c r="BB55" s="280"/>
      <c r="BC55" s="280"/>
      <c r="BD55" s="280"/>
      <c r="BE55" s="280"/>
      <c r="BF55" s="280"/>
      <c r="BG55" s="280"/>
      <c r="BH55" s="280"/>
      <c r="BI55" s="280"/>
      <c r="BJ55" s="280"/>
      <c r="BK55" s="251"/>
    </row>
    <row r="56" spans="1:64" s="219" customFormat="1">
      <c r="A56" s="204"/>
      <c r="B56" s="241"/>
      <c r="C56" s="242"/>
      <c r="D56" s="242"/>
      <c r="E56" s="237"/>
      <c r="G56"/>
      <c r="H56" s="243"/>
      <c r="I56"/>
      <c r="J56"/>
      <c r="K56"/>
      <c r="L56"/>
      <c r="M56"/>
      <c r="N56"/>
      <c r="O56" s="225"/>
      <c r="P56" s="225"/>
      <c r="Q56" s="225"/>
      <c r="R56" s="226"/>
      <c r="S56" s="225"/>
      <c r="T56" s="227"/>
      <c r="U56" s="228"/>
      <c r="V56" s="227"/>
      <c r="W56" s="225"/>
      <c r="X56" s="226"/>
      <c r="Y56" s="225"/>
      <c r="Z56" s="225"/>
      <c r="AA56" s="280"/>
      <c r="AB56" s="225"/>
      <c r="AC56" s="225"/>
      <c r="AD56" s="225"/>
      <c r="AE56" s="225"/>
      <c r="AF56" s="116"/>
      <c r="AG56" s="116"/>
      <c r="AH56" s="116"/>
      <c r="AI56" s="116"/>
      <c r="AJ56" s="116"/>
      <c r="AK56" s="116"/>
      <c r="AL56" s="116"/>
      <c r="AM56" s="116"/>
      <c r="AN56"/>
      <c r="AO56"/>
      <c r="AP56"/>
      <c r="AQ56"/>
      <c r="AR56"/>
      <c r="AS56"/>
      <c r="AT56" s="280"/>
      <c r="AU56" s="280"/>
      <c r="AV56" s="280"/>
      <c r="AW56" s="300"/>
      <c r="AX56" s="280"/>
      <c r="AY56" s="280"/>
      <c r="AZ56" s="280"/>
      <c r="BA56" s="280"/>
      <c r="BB56" s="280"/>
      <c r="BC56" s="280"/>
      <c r="BD56" s="280"/>
      <c r="BE56" s="280"/>
      <c r="BF56" s="280"/>
      <c r="BG56" s="280"/>
      <c r="BH56" s="280"/>
      <c r="BI56" s="280"/>
      <c r="BJ56" s="280"/>
      <c r="BK56" s="251"/>
    </row>
    <row r="57" spans="1:64" s="219" customFormat="1">
      <c r="A57" s="204"/>
      <c r="B57" s="241"/>
      <c r="C57" s="242"/>
      <c r="D57" s="242"/>
      <c r="E57" s="237"/>
      <c r="G57"/>
      <c r="H57" s="243"/>
      <c r="I57"/>
      <c r="J57"/>
      <c r="K57"/>
      <c r="L57"/>
      <c r="M57"/>
      <c r="N57"/>
      <c r="O57" s="225"/>
      <c r="P57" s="225"/>
      <c r="Q57" s="225"/>
      <c r="R57" s="226"/>
      <c r="S57" s="225"/>
      <c r="T57" s="227"/>
      <c r="U57" s="228"/>
      <c r="V57" s="227"/>
      <c r="W57" s="225"/>
      <c r="X57" s="226"/>
      <c r="Y57" s="225"/>
      <c r="Z57" s="225"/>
      <c r="AA57" s="280"/>
      <c r="AB57" s="225"/>
      <c r="AC57" s="225"/>
      <c r="AD57" s="225"/>
      <c r="AE57" s="225"/>
      <c r="AF57" s="116"/>
      <c r="AG57" s="116"/>
      <c r="AH57" s="116"/>
      <c r="AI57" s="116"/>
      <c r="AJ57" s="116"/>
      <c r="AK57" s="116"/>
      <c r="AL57" s="116"/>
      <c r="AM57" s="116"/>
      <c r="AN57"/>
      <c r="AO57"/>
      <c r="AP57"/>
      <c r="AQ57"/>
      <c r="AR57"/>
      <c r="AS57"/>
      <c r="AT57" s="280"/>
      <c r="AU57" s="280"/>
      <c r="AV57" s="280"/>
      <c r="AW57" s="280"/>
      <c r="AX57" s="280"/>
      <c r="AY57" s="280"/>
      <c r="AZ57" s="280"/>
      <c r="BA57" s="280"/>
      <c r="BB57" s="280"/>
      <c r="BC57" s="280"/>
      <c r="BD57" s="280"/>
      <c r="BE57" s="280"/>
      <c r="BF57" s="280"/>
      <c r="BG57" s="280"/>
      <c r="BH57" s="280"/>
      <c r="BI57" s="280"/>
      <c r="BJ57" s="280"/>
      <c r="BK57" s="251"/>
    </row>
    <row r="58" spans="1:64" s="219" customFormat="1">
      <c r="A58" s="204"/>
      <c r="B58" s="241"/>
      <c r="C58" s="242"/>
      <c r="D58" s="242"/>
      <c r="E58" s="237"/>
      <c r="G58"/>
      <c r="H58" s="243"/>
      <c r="I58"/>
      <c r="J58"/>
      <c r="K58"/>
      <c r="L58"/>
      <c r="M58"/>
      <c r="N58"/>
      <c r="O58" s="225"/>
      <c r="P58" s="225"/>
      <c r="Q58" s="225"/>
      <c r="R58" s="226"/>
      <c r="S58" s="225"/>
      <c r="T58" s="227"/>
      <c r="U58" s="228"/>
      <c r="V58" s="227"/>
      <c r="W58" s="225"/>
      <c r="X58" s="226"/>
      <c r="Y58" s="225"/>
      <c r="Z58" s="225"/>
      <c r="AA58" s="280"/>
      <c r="AB58" s="225"/>
      <c r="AC58" s="225"/>
      <c r="AD58" s="225"/>
      <c r="AE58" s="225"/>
      <c r="AF58" s="116"/>
      <c r="AG58" s="116"/>
      <c r="AH58" s="116"/>
      <c r="AI58" s="116"/>
      <c r="AJ58" s="116"/>
      <c r="AK58" s="116"/>
      <c r="AL58" s="116"/>
      <c r="AM58" s="116"/>
      <c r="AN58"/>
      <c r="AO58"/>
      <c r="AP58"/>
      <c r="AQ58"/>
      <c r="AR58"/>
      <c r="AS58"/>
      <c r="AT58" s="280"/>
      <c r="AU58" s="280"/>
      <c r="AV58" s="280"/>
      <c r="AW58" s="280"/>
      <c r="AX58" s="280"/>
      <c r="AY58" s="280"/>
      <c r="AZ58" s="280"/>
      <c r="BA58" s="280"/>
      <c r="BB58" s="280"/>
      <c r="BC58" s="280"/>
      <c r="BD58" s="280"/>
      <c r="BE58" s="280"/>
      <c r="BF58" s="280"/>
      <c r="BG58" s="280"/>
      <c r="BH58" s="280"/>
      <c r="BI58" s="280"/>
      <c r="BJ58" s="280"/>
      <c r="BK58" s="251"/>
    </row>
    <row r="59" spans="1:64" s="219" customFormat="1">
      <c r="A59" s="204"/>
      <c r="B59" s="241"/>
      <c r="C59" s="242"/>
      <c r="D59" s="242"/>
      <c r="E59" s="237"/>
      <c r="G59"/>
      <c r="H59" s="243"/>
      <c r="I59"/>
      <c r="J59"/>
      <c r="K59"/>
      <c r="L59"/>
      <c r="M59"/>
      <c r="N59"/>
      <c r="O59" s="225"/>
      <c r="P59" s="225"/>
      <c r="Q59" s="225"/>
      <c r="R59" s="226"/>
      <c r="S59" s="225"/>
      <c r="T59" s="227"/>
      <c r="U59" s="228"/>
      <c r="V59" s="227"/>
      <c r="W59" s="225"/>
      <c r="X59" s="226"/>
      <c r="Y59" s="225"/>
      <c r="Z59" s="225"/>
      <c r="AA59" s="280"/>
      <c r="AB59" s="225"/>
      <c r="AC59" s="225"/>
      <c r="AD59" s="225"/>
      <c r="AE59" s="225"/>
      <c r="AF59" s="116"/>
      <c r="AG59" s="116"/>
      <c r="AH59" s="116"/>
      <c r="AI59" s="116"/>
      <c r="AJ59" s="116"/>
      <c r="AK59" s="116"/>
      <c r="AL59" s="116"/>
      <c r="AM59" s="116"/>
      <c r="AN59"/>
      <c r="AO59"/>
      <c r="AP59"/>
      <c r="AQ59"/>
      <c r="AR59"/>
      <c r="AS59"/>
      <c r="AT59" s="280"/>
      <c r="AU59" s="280"/>
      <c r="AV59" s="280"/>
      <c r="AW59" s="280"/>
      <c r="AX59" s="280"/>
      <c r="AY59" s="280"/>
      <c r="AZ59" s="280"/>
      <c r="BA59" s="280"/>
      <c r="BB59" s="280"/>
      <c r="BC59" s="280"/>
      <c r="BD59" s="280"/>
      <c r="BE59" s="280"/>
      <c r="BF59" s="280"/>
      <c r="BG59" s="280"/>
      <c r="BH59" s="280"/>
      <c r="BI59" s="280"/>
      <c r="BJ59" s="280"/>
      <c r="BK59" s="251"/>
    </row>
    <row r="60" spans="1:64" s="219" customFormat="1">
      <c r="A60" s="204"/>
      <c r="B60" s="241"/>
      <c r="C60" s="242"/>
      <c r="D60" s="242"/>
      <c r="E60" s="237"/>
      <c r="G60"/>
      <c r="H60" s="243"/>
      <c r="I60"/>
      <c r="J60"/>
      <c r="K60"/>
      <c r="L60"/>
      <c r="M60"/>
      <c r="N60"/>
      <c r="O60" s="225"/>
      <c r="P60" s="225"/>
      <c r="Q60" s="225"/>
      <c r="R60" s="226"/>
      <c r="S60" s="225"/>
      <c r="T60" s="227"/>
      <c r="U60" s="228"/>
      <c r="V60" s="227"/>
      <c r="W60" s="225"/>
      <c r="X60" s="226"/>
      <c r="Y60" s="225"/>
      <c r="Z60" s="225"/>
      <c r="AA60" s="280"/>
      <c r="AB60" s="225"/>
      <c r="AC60" s="225"/>
      <c r="AD60" s="225"/>
      <c r="AE60" s="225"/>
      <c r="AF60" s="116"/>
      <c r="AG60" s="116"/>
      <c r="AH60" s="116"/>
      <c r="AI60" s="116"/>
      <c r="AJ60" s="116"/>
      <c r="AK60" s="116"/>
      <c r="AL60" s="116"/>
      <c r="AM60" s="116"/>
      <c r="AN60"/>
      <c r="AO60"/>
      <c r="AP60"/>
      <c r="AQ60"/>
      <c r="AR60"/>
      <c r="AS60"/>
      <c r="AT60" s="280"/>
      <c r="AU60" s="280"/>
      <c r="AV60" s="280"/>
      <c r="AW60" s="280"/>
      <c r="AX60" s="280"/>
      <c r="AY60" s="280"/>
      <c r="AZ60" s="280"/>
      <c r="BA60" s="280"/>
      <c r="BB60" s="280"/>
      <c r="BC60" s="280"/>
      <c r="BD60" s="280"/>
      <c r="BE60" s="280"/>
      <c r="BF60" s="280"/>
      <c r="BG60" s="280"/>
      <c r="BH60" s="280"/>
      <c r="BI60" s="280"/>
      <c r="BJ60" s="280"/>
      <c r="BK60" s="251"/>
    </row>
    <row r="61" spans="1:64" s="219" customFormat="1">
      <c r="A61" s="204"/>
      <c r="B61" s="241"/>
      <c r="C61" s="242"/>
      <c r="D61" s="242"/>
      <c r="E61" s="237"/>
      <c r="G61"/>
      <c r="H61" s="243"/>
      <c r="I61"/>
      <c r="J61"/>
      <c r="K61"/>
      <c r="L61"/>
      <c r="M61"/>
      <c r="N61"/>
      <c r="O61" s="225"/>
      <c r="P61" s="225"/>
      <c r="Q61" s="225"/>
      <c r="R61" s="226"/>
      <c r="S61" s="225"/>
      <c r="T61" s="227"/>
      <c r="U61" s="228"/>
      <c r="V61" s="227"/>
      <c r="W61" s="225"/>
      <c r="X61" s="226"/>
      <c r="Y61" s="225"/>
      <c r="Z61" s="225"/>
      <c r="AA61" s="280"/>
      <c r="AB61" s="225"/>
      <c r="AC61" s="225"/>
      <c r="AD61" s="225"/>
      <c r="AE61" s="225"/>
      <c r="AF61" s="116"/>
      <c r="AG61" s="116"/>
      <c r="AH61" s="116"/>
      <c r="AI61" s="116"/>
      <c r="AJ61" s="116"/>
      <c r="AK61" s="116"/>
      <c r="AL61" s="116"/>
      <c r="AM61" s="116"/>
      <c r="AN61"/>
      <c r="AO61"/>
      <c r="AP61"/>
      <c r="AQ61"/>
      <c r="AR61"/>
      <c r="AS61"/>
      <c r="AT61" s="280"/>
      <c r="AU61" s="280"/>
      <c r="AV61" s="280"/>
      <c r="AW61" s="280"/>
      <c r="AX61" s="280"/>
      <c r="AY61" s="280"/>
      <c r="AZ61" s="280"/>
      <c r="BA61" s="280"/>
      <c r="BB61" s="280"/>
      <c r="BC61" s="280"/>
      <c r="BD61" s="280"/>
      <c r="BE61" s="280"/>
      <c r="BF61" s="280"/>
      <c r="BG61" s="280"/>
      <c r="BH61" s="280"/>
      <c r="BI61" s="280"/>
      <c r="BJ61" s="280"/>
      <c r="BK61" s="251"/>
    </row>
    <row r="62" spans="1:64" s="219" customFormat="1">
      <c r="A62" s="204"/>
      <c r="B62" s="241"/>
      <c r="C62" s="242"/>
      <c r="D62" s="242"/>
      <c r="E62" s="237"/>
      <c r="G62"/>
      <c r="H62" s="243"/>
      <c r="I62"/>
      <c r="J62"/>
      <c r="K62"/>
      <c r="L62"/>
      <c r="M62"/>
      <c r="N62"/>
      <c r="O62" s="225"/>
      <c r="P62" s="225"/>
      <c r="Q62" s="225"/>
      <c r="R62" s="226"/>
      <c r="S62" s="225"/>
      <c r="T62" s="227"/>
      <c r="U62" s="228"/>
      <c r="V62" s="227"/>
      <c r="W62" s="225"/>
      <c r="X62" s="226"/>
      <c r="Y62" s="225"/>
      <c r="Z62" s="225"/>
      <c r="AA62" s="280"/>
      <c r="AB62" s="225"/>
      <c r="AC62" s="225"/>
      <c r="AD62" s="225"/>
      <c r="AE62" s="225"/>
      <c r="AF62" s="116"/>
      <c r="AG62" s="116"/>
      <c r="AH62" s="116"/>
      <c r="AI62" s="116"/>
      <c r="AJ62" s="116"/>
      <c r="AK62" s="116"/>
      <c r="AL62" s="116"/>
      <c r="AM62" s="116"/>
      <c r="AN62"/>
      <c r="AO62"/>
      <c r="AP62"/>
      <c r="AQ62"/>
      <c r="AR62"/>
      <c r="AS62"/>
      <c r="AT62" s="280"/>
      <c r="AU62" s="280"/>
      <c r="AV62" s="280"/>
      <c r="AW62" s="280"/>
      <c r="AX62" s="280"/>
      <c r="AY62" s="280"/>
      <c r="AZ62" s="280"/>
      <c r="BA62" s="280"/>
      <c r="BB62" s="280"/>
      <c r="BC62" s="280"/>
      <c r="BD62" s="280"/>
      <c r="BE62" s="280"/>
      <c r="BF62" s="280"/>
      <c r="BG62" s="280"/>
      <c r="BH62" s="280"/>
      <c r="BI62" s="280"/>
      <c r="BJ62" s="280"/>
      <c r="BK62" s="251"/>
    </row>
    <row r="63" spans="1:64" s="219" customFormat="1">
      <c r="A63" s="204"/>
      <c r="B63" s="241"/>
      <c r="C63" s="242"/>
      <c r="D63" s="242"/>
      <c r="E63" s="237"/>
      <c r="G63"/>
      <c r="H63" s="243"/>
      <c r="I63"/>
      <c r="J63"/>
      <c r="K63"/>
      <c r="L63"/>
      <c r="M63"/>
      <c r="N63"/>
      <c r="O63" s="225"/>
      <c r="P63" s="225"/>
      <c r="Q63" s="225"/>
      <c r="R63" s="226"/>
      <c r="S63" s="225"/>
      <c r="T63" s="227"/>
      <c r="U63" s="228"/>
      <c r="V63" s="227"/>
      <c r="W63" s="225"/>
      <c r="X63" s="226"/>
      <c r="Y63" s="225"/>
      <c r="Z63" s="225"/>
      <c r="AA63" s="280"/>
      <c r="AB63" s="225"/>
      <c r="AC63" s="225"/>
      <c r="AD63" s="225"/>
      <c r="AE63" s="225"/>
      <c r="AF63" s="116"/>
      <c r="AG63" s="116"/>
      <c r="AH63" s="116"/>
      <c r="AI63" s="116"/>
      <c r="AJ63" s="116"/>
      <c r="AK63" s="116"/>
      <c r="AL63" s="116"/>
      <c r="AM63" s="116"/>
      <c r="AN63"/>
      <c r="AO63"/>
      <c r="AP63"/>
      <c r="AQ63"/>
      <c r="AR63"/>
      <c r="AS63"/>
      <c r="AT63" s="280"/>
      <c r="AU63" s="280"/>
      <c r="AV63" s="280"/>
      <c r="AW63" s="280"/>
      <c r="AX63" s="280"/>
      <c r="AY63" s="280"/>
      <c r="AZ63" s="280"/>
      <c r="BA63" s="280"/>
      <c r="BB63" s="280"/>
      <c r="BC63" s="280"/>
      <c r="BD63" s="280"/>
      <c r="BE63" s="280"/>
      <c r="BF63" s="280"/>
      <c r="BG63" s="280"/>
      <c r="BH63" s="280"/>
      <c r="BI63" s="280"/>
      <c r="BJ63" s="280"/>
      <c r="BK63" s="251"/>
    </row>
    <row r="64" spans="1:64" s="219" customFormat="1">
      <c r="A64" s="204"/>
      <c r="B64" s="241"/>
      <c r="C64" s="242"/>
      <c r="D64" s="242"/>
      <c r="E64" s="237"/>
      <c r="G64"/>
      <c r="H64" s="243"/>
      <c r="I64"/>
      <c r="J64"/>
      <c r="K64"/>
      <c r="L64"/>
      <c r="M64"/>
      <c r="N64"/>
      <c r="O64" s="225"/>
      <c r="P64" s="225"/>
      <c r="Q64" s="225"/>
      <c r="R64" s="226"/>
      <c r="S64" s="225"/>
      <c r="T64" s="227"/>
      <c r="U64" s="228"/>
      <c r="V64" s="227"/>
      <c r="W64" s="225"/>
      <c r="X64" s="226"/>
      <c r="Y64" s="225"/>
      <c r="Z64" s="225"/>
      <c r="AA64" s="280"/>
      <c r="AB64" s="225"/>
      <c r="AC64" s="225"/>
      <c r="AD64" s="225"/>
      <c r="AE64" s="225"/>
      <c r="AF64" s="116"/>
      <c r="AG64" s="116"/>
      <c r="AH64" s="116"/>
      <c r="AI64" s="116"/>
      <c r="AJ64" s="116"/>
      <c r="AK64" s="116"/>
      <c r="AL64" s="116"/>
      <c r="AM64" s="116"/>
      <c r="AN64"/>
      <c r="AO64"/>
      <c r="AP64"/>
      <c r="AQ64"/>
      <c r="AR64"/>
      <c r="AS64"/>
      <c r="AT64" s="280"/>
      <c r="AU64" s="280"/>
      <c r="AV64" s="280"/>
      <c r="AW64" s="280"/>
      <c r="AX64" s="280"/>
      <c r="AY64" s="280"/>
      <c r="AZ64" s="280"/>
      <c r="BA64" s="280"/>
      <c r="BB64" s="280"/>
      <c r="BC64" s="280"/>
      <c r="BD64" s="280"/>
      <c r="BE64" s="280"/>
      <c r="BF64" s="280"/>
      <c r="BG64" s="280"/>
      <c r="BH64" s="280"/>
      <c r="BI64" s="280"/>
      <c r="BJ64" s="280"/>
      <c r="BK64" s="251"/>
    </row>
    <row r="65" spans="1:77" s="219" customFormat="1">
      <c r="A65" s="204"/>
      <c r="C65" s="204"/>
      <c r="D65" s="204"/>
      <c r="E65" s="218"/>
      <c r="G65"/>
      <c r="I65" s="252"/>
      <c r="J65"/>
      <c r="K65"/>
      <c r="L65"/>
      <c r="M65"/>
      <c r="N65"/>
      <c r="O65" s="225"/>
      <c r="P65" s="225"/>
      <c r="Q65" s="225"/>
      <c r="R65" s="226"/>
      <c r="S65" s="225"/>
      <c r="T65" s="227"/>
      <c r="U65" s="228"/>
      <c r="V65" s="227"/>
      <c r="W65" s="225"/>
      <c r="X65" s="226"/>
      <c r="Y65" s="225"/>
      <c r="Z65" s="225"/>
      <c r="AA65" s="280"/>
      <c r="AB65" s="225"/>
      <c r="AC65" s="225"/>
      <c r="AD65" s="225"/>
      <c r="AE65" s="225"/>
      <c r="AF65" s="116"/>
      <c r="AG65" s="116"/>
      <c r="AH65" s="116"/>
      <c r="AI65" s="116"/>
      <c r="AJ65" s="116"/>
      <c r="AK65" s="116"/>
      <c r="AL65" s="116"/>
      <c r="AM65" s="116"/>
      <c r="AN65"/>
      <c r="AO65"/>
      <c r="AP65"/>
      <c r="AQ65"/>
      <c r="AR65"/>
      <c r="AS65"/>
      <c r="AT65" s="280"/>
      <c r="AU65" s="280"/>
      <c r="AV65" s="280"/>
      <c r="AW65" s="280"/>
      <c r="AX65" s="280"/>
      <c r="AY65" s="280"/>
      <c r="AZ65" s="280"/>
      <c r="BA65" s="280"/>
      <c r="BB65" s="280"/>
      <c r="BC65" s="280"/>
      <c r="BD65" s="280"/>
      <c r="BE65" s="280"/>
      <c r="BF65" s="280"/>
      <c r="BG65" s="280"/>
      <c r="BH65" s="280"/>
      <c r="BI65" s="280"/>
      <c r="BJ65" s="302"/>
      <c r="BK65" s="253"/>
    </row>
    <row r="66" spans="1:77" s="219" customFormat="1" ht="15.75" customHeight="1">
      <c r="A66" s="204"/>
      <c r="C66" s="204"/>
      <c r="D66" s="204"/>
      <c r="E66" s="218"/>
      <c r="G66"/>
      <c r="I66"/>
      <c r="J66"/>
      <c r="K66"/>
      <c r="L66"/>
      <c r="M66"/>
      <c r="N66"/>
      <c r="O66" s="225"/>
      <c r="P66" s="225"/>
      <c r="Q66" s="225"/>
      <c r="R66" s="226"/>
      <c r="S66" s="225"/>
      <c r="T66" s="227"/>
      <c r="U66" s="228"/>
      <c r="V66" s="227"/>
      <c r="W66" s="225"/>
      <c r="X66" s="226"/>
      <c r="Y66" s="225"/>
      <c r="Z66" s="225"/>
      <c r="AA66" s="280"/>
      <c r="AB66" s="225"/>
      <c r="AC66" s="225"/>
      <c r="AD66" s="225"/>
      <c r="AE66" s="225"/>
      <c r="AF66" s="116"/>
      <c r="AG66" s="116"/>
      <c r="AH66" s="116"/>
      <c r="AI66" s="116"/>
      <c r="AJ66" s="116"/>
      <c r="AK66" s="116"/>
      <c r="AL66" s="116"/>
      <c r="AM66" s="116"/>
      <c r="AN66"/>
      <c r="AO66"/>
      <c r="AP66"/>
      <c r="AQ66"/>
      <c r="AR66"/>
      <c r="AS66"/>
      <c r="AT66" s="280"/>
      <c r="AU66" s="280"/>
      <c r="AV66" s="280"/>
      <c r="AW66" s="280"/>
      <c r="AX66" s="280"/>
      <c r="AY66" s="280"/>
      <c r="AZ66" s="280"/>
      <c r="BA66" s="280"/>
      <c r="BB66" s="280"/>
      <c r="BC66" s="280"/>
      <c r="BD66" s="280"/>
      <c r="BE66" s="280"/>
      <c r="BF66" s="280"/>
      <c r="BG66" s="280"/>
      <c r="BH66" s="280"/>
      <c r="BI66" s="280"/>
      <c r="BJ66" s="280"/>
    </row>
    <row r="67" spans="1:77" s="204" customFormat="1" ht="27" customHeight="1">
      <c r="B67" s="217"/>
      <c r="E67" s="218"/>
      <c r="F67" s="219"/>
      <c r="G67"/>
      <c r="H67"/>
      <c r="I67"/>
      <c r="J67"/>
      <c r="K67"/>
      <c r="L67"/>
      <c r="M67"/>
      <c r="N67"/>
      <c r="O67" s="225"/>
      <c r="P67" s="225"/>
      <c r="Q67" s="225"/>
      <c r="R67" s="226"/>
      <c r="S67" s="225"/>
      <c r="T67" s="227"/>
      <c r="U67" s="228"/>
      <c r="V67" s="227"/>
      <c r="W67" s="225"/>
      <c r="X67" s="226"/>
      <c r="Y67" s="225"/>
      <c r="Z67" s="225"/>
      <c r="AA67" s="280"/>
      <c r="AB67" s="225"/>
      <c r="AC67" s="225"/>
      <c r="AD67" s="225"/>
      <c r="AE67" s="225"/>
      <c r="AF67" s="116"/>
      <c r="AG67" s="116"/>
      <c r="AH67" s="116"/>
      <c r="AI67" s="116"/>
      <c r="AJ67" s="116"/>
      <c r="AK67" s="116"/>
      <c r="AL67" s="116"/>
      <c r="AM67" s="116"/>
      <c r="AN67"/>
      <c r="AO67"/>
      <c r="AP67"/>
      <c r="AQ67"/>
      <c r="AR67"/>
      <c r="AS67"/>
      <c r="AT67" s="280"/>
      <c r="AU67" s="280"/>
      <c r="AV67" s="280"/>
      <c r="AW67" s="280"/>
      <c r="AX67" s="280"/>
      <c r="AY67" s="280"/>
      <c r="AZ67" s="280"/>
      <c r="BA67" s="280"/>
      <c r="BB67" s="280"/>
      <c r="BC67" s="280"/>
      <c r="BD67" s="280"/>
      <c r="BE67" s="280"/>
      <c r="BF67" s="280"/>
      <c r="BG67" s="280"/>
      <c r="BH67" s="280"/>
      <c r="BI67" s="280"/>
      <c r="BJ67" s="280"/>
      <c r="BK67"/>
      <c r="BL67"/>
      <c r="BM67" s="280"/>
      <c r="BN67"/>
      <c r="BO67"/>
      <c r="BP67"/>
      <c r="BQ67"/>
      <c r="BR67"/>
      <c r="BS67"/>
      <c r="BT67"/>
      <c r="BU67"/>
      <c r="BV67"/>
      <c r="BW67"/>
      <c r="BX67"/>
      <c r="BY67"/>
    </row>
    <row r="68" spans="1:77" s="204" customFormat="1" ht="27" customHeight="1">
      <c r="B68" s="217"/>
      <c r="E68" s="218"/>
      <c r="F68" s="219"/>
      <c r="G68"/>
      <c r="H68"/>
      <c r="I68"/>
      <c r="J68"/>
      <c r="K68"/>
      <c r="L68"/>
      <c r="M68"/>
      <c r="N68"/>
      <c r="O68" s="225"/>
      <c r="P68" s="225"/>
      <c r="Q68" s="225"/>
      <c r="R68" s="226"/>
      <c r="S68" s="225"/>
      <c r="T68" s="227"/>
      <c r="U68" s="228"/>
      <c r="V68" s="227"/>
      <c r="W68" s="225"/>
      <c r="X68" s="226"/>
      <c r="Y68" s="225"/>
      <c r="Z68" s="225"/>
      <c r="AA68" s="280"/>
      <c r="AB68" s="225"/>
      <c r="AC68" s="225"/>
      <c r="AD68" s="225"/>
      <c r="AE68" s="225"/>
      <c r="AF68" s="116"/>
      <c r="AG68" s="116"/>
      <c r="AH68" s="116"/>
      <c r="AI68" s="116"/>
      <c r="AJ68" s="116"/>
      <c r="AK68" s="116"/>
      <c r="AL68" s="116"/>
      <c r="AM68" s="116"/>
      <c r="AN68"/>
      <c r="AO68"/>
      <c r="AP68"/>
      <c r="AQ68"/>
      <c r="AR68"/>
      <c r="AS68"/>
      <c r="AT68" s="280"/>
      <c r="AU68" s="280"/>
      <c r="AV68" s="280"/>
      <c r="AW68" s="280"/>
      <c r="AX68" s="280"/>
      <c r="AY68" s="280"/>
      <c r="AZ68" s="280"/>
      <c r="BA68" s="280"/>
      <c r="BB68" s="280"/>
      <c r="BC68" s="280"/>
      <c r="BD68" s="280"/>
      <c r="BE68" s="280"/>
      <c r="BF68" s="280"/>
      <c r="BG68" s="280"/>
      <c r="BH68" s="280"/>
      <c r="BI68" s="280"/>
      <c r="BJ68" s="280"/>
      <c r="BK68"/>
      <c r="BL68"/>
      <c r="BM68" s="280"/>
      <c r="BN68"/>
      <c r="BO68"/>
      <c r="BP68"/>
      <c r="BQ68"/>
      <c r="BR68"/>
      <c r="BS68"/>
      <c r="BT68"/>
      <c r="BU68"/>
      <c r="BV68"/>
      <c r="BW68"/>
      <c r="BX68"/>
      <c r="BY68"/>
    </row>
    <row r="69" spans="1:77" s="204" customFormat="1" ht="27" customHeight="1">
      <c r="B69" s="217"/>
      <c r="E69" s="218"/>
      <c r="F69" s="219"/>
      <c r="G69"/>
      <c r="H69"/>
      <c r="I69"/>
      <c r="J69"/>
      <c r="K69"/>
      <c r="L69"/>
      <c r="M69"/>
      <c r="N69"/>
      <c r="O69" s="225"/>
      <c r="P69" s="225"/>
      <c r="Q69" s="225"/>
      <c r="R69" s="226"/>
      <c r="S69" s="225"/>
      <c r="T69" s="227"/>
      <c r="U69" s="228"/>
      <c r="V69" s="227"/>
      <c r="W69" s="225"/>
      <c r="X69" s="226"/>
      <c r="Y69" s="225"/>
      <c r="Z69" s="225"/>
      <c r="AA69" s="280"/>
      <c r="AB69" s="225"/>
      <c r="AC69" s="225"/>
      <c r="AD69" s="225"/>
      <c r="AE69" s="225"/>
      <c r="AF69" s="116"/>
      <c r="AG69" s="116"/>
      <c r="AH69" s="116"/>
      <c r="AI69" s="116"/>
      <c r="AJ69" s="116"/>
      <c r="AK69" s="116"/>
      <c r="AL69" s="116"/>
      <c r="AM69" s="116"/>
      <c r="AN69"/>
      <c r="AO69"/>
      <c r="AP69"/>
      <c r="AQ69"/>
      <c r="AR69"/>
      <c r="AS69"/>
      <c r="AT69" s="280"/>
      <c r="AU69" s="280"/>
      <c r="AV69" s="280"/>
      <c r="AW69" s="280"/>
      <c r="AX69" s="280"/>
      <c r="AY69" s="280"/>
      <c r="AZ69" s="280"/>
      <c r="BA69" s="280"/>
      <c r="BB69" s="280"/>
      <c r="BC69" s="280"/>
      <c r="BD69" s="280"/>
      <c r="BE69" s="280"/>
      <c r="BF69" s="280"/>
      <c r="BG69" s="280"/>
      <c r="BH69" s="280"/>
      <c r="BI69" s="280"/>
      <c r="BJ69" s="280"/>
      <c r="BK69"/>
      <c r="BL69"/>
      <c r="BM69" s="280"/>
      <c r="BN69"/>
      <c r="BO69"/>
      <c r="BP69"/>
      <c r="BQ69"/>
      <c r="BR69"/>
      <c r="BS69"/>
      <c r="BT69"/>
      <c r="BU69"/>
      <c r="BV69"/>
      <c r="BW69"/>
      <c r="BX69"/>
      <c r="BY69"/>
    </row>
    <row r="70" spans="1:77" s="204" customFormat="1" ht="27" customHeight="1">
      <c r="B70" s="217"/>
      <c r="E70" s="218"/>
      <c r="F70" s="219"/>
      <c r="G70"/>
      <c r="H70"/>
      <c r="I70"/>
      <c r="J70"/>
      <c r="K70"/>
      <c r="L70"/>
      <c r="M70"/>
      <c r="N70"/>
      <c r="O70" s="225"/>
      <c r="P70" s="225"/>
      <c r="Q70" s="225"/>
      <c r="R70" s="226"/>
      <c r="S70" s="225"/>
      <c r="T70" s="227"/>
      <c r="U70" s="228"/>
      <c r="V70" s="227"/>
      <c r="W70" s="225"/>
      <c r="X70" s="226"/>
      <c r="Y70" s="225"/>
      <c r="Z70" s="225"/>
      <c r="AA70" s="280"/>
      <c r="AB70" s="225"/>
      <c r="AC70" s="225"/>
      <c r="AD70" s="225"/>
      <c r="AE70" s="225"/>
      <c r="AF70" s="116"/>
      <c r="AG70" s="116"/>
      <c r="AH70" s="116"/>
      <c r="AI70" s="116"/>
      <c r="AJ70" s="116"/>
      <c r="AK70" s="116"/>
      <c r="AL70" s="116"/>
      <c r="AM70" s="116"/>
      <c r="AN70"/>
      <c r="AO70"/>
      <c r="AP70"/>
      <c r="AQ70"/>
      <c r="AR70"/>
      <c r="AS70"/>
      <c r="AT70" s="280"/>
      <c r="AU70" s="280"/>
      <c r="AV70" s="280"/>
      <c r="AW70" s="280"/>
      <c r="AX70" s="280"/>
      <c r="AY70" s="280"/>
      <c r="AZ70" s="280"/>
      <c r="BA70" s="280"/>
      <c r="BB70" s="280"/>
      <c r="BC70" s="280"/>
      <c r="BD70" s="280"/>
      <c r="BE70" s="280"/>
      <c r="BF70" s="280"/>
      <c r="BG70" s="280"/>
      <c r="BH70" s="280"/>
      <c r="BI70" s="280"/>
      <c r="BJ70" s="280"/>
      <c r="BK70"/>
      <c r="BL70"/>
      <c r="BM70" s="280"/>
      <c r="BN70"/>
      <c r="BO70"/>
      <c r="BP70"/>
      <c r="BQ70"/>
      <c r="BR70"/>
      <c r="BS70"/>
      <c r="BT70"/>
      <c r="BU70"/>
      <c r="BV70"/>
      <c r="BW70"/>
      <c r="BX70"/>
      <c r="BY70"/>
    </row>
    <row r="71" spans="1:77" s="204" customFormat="1" ht="27" customHeight="1">
      <c r="B71" s="217"/>
      <c r="E71" s="218"/>
      <c r="F71" s="219"/>
      <c r="G71"/>
      <c r="H71"/>
      <c r="I71"/>
      <c r="J71"/>
      <c r="K71"/>
      <c r="L71"/>
      <c r="M71"/>
      <c r="N71"/>
      <c r="O71" s="225"/>
      <c r="P71" s="225"/>
      <c r="Q71" s="225"/>
      <c r="R71" s="226"/>
      <c r="S71" s="225"/>
      <c r="T71" s="227"/>
      <c r="U71" s="228"/>
      <c r="V71" s="227"/>
      <c r="W71" s="225"/>
      <c r="X71" s="226"/>
      <c r="Y71" s="225"/>
      <c r="Z71" s="225"/>
      <c r="AA71" s="280"/>
      <c r="AB71" s="225"/>
      <c r="AC71" s="225"/>
      <c r="AD71" s="225"/>
      <c r="AE71" s="225"/>
      <c r="AF71" s="116"/>
      <c r="AG71" s="116"/>
      <c r="AH71" s="116"/>
      <c r="AI71" s="116"/>
      <c r="AJ71" s="116"/>
      <c r="AK71" s="116"/>
      <c r="AL71" s="116"/>
      <c r="AM71" s="116"/>
      <c r="AN71"/>
      <c r="AO71"/>
      <c r="AP71"/>
      <c r="AQ71"/>
      <c r="AR71"/>
      <c r="AS71"/>
      <c r="AT71" s="280"/>
      <c r="AU71" s="280"/>
      <c r="AV71" s="280"/>
      <c r="AW71" s="280"/>
      <c r="AX71" s="280"/>
      <c r="AY71" s="280"/>
      <c r="AZ71" s="280"/>
      <c r="BA71" s="280"/>
      <c r="BB71" s="280"/>
      <c r="BC71" s="280"/>
      <c r="BD71" s="280"/>
      <c r="BE71" s="280"/>
      <c r="BF71" s="280"/>
      <c r="BG71" s="280"/>
      <c r="BH71" s="280"/>
      <c r="BI71" s="280"/>
      <c r="BJ71" s="280"/>
      <c r="BK71"/>
      <c r="BL71"/>
      <c r="BM71" s="280"/>
      <c r="BN71"/>
      <c r="BO71"/>
      <c r="BP71"/>
      <c r="BQ71"/>
      <c r="BR71"/>
      <c r="BS71"/>
      <c r="BT71"/>
      <c r="BU71"/>
      <c r="BV71"/>
      <c r="BW71"/>
      <c r="BX71"/>
      <c r="BY71"/>
    </row>
    <row r="72" spans="1:77" s="204" customFormat="1" ht="27" customHeight="1">
      <c r="B72" s="217"/>
      <c r="E72" s="218"/>
      <c r="F72" s="219"/>
      <c r="G72"/>
      <c r="H72"/>
      <c r="I72"/>
      <c r="J72"/>
      <c r="K72"/>
      <c r="L72"/>
      <c r="M72"/>
      <c r="N72"/>
      <c r="O72" s="225"/>
      <c r="P72" s="225"/>
      <c r="Q72" s="225"/>
      <c r="R72" s="226"/>
      <c r="S72" s="225"/>
      <c r="T72" s="227"/>
      <c r="U72" s="228"/>
      <c r="V72" s="227"/>
      <c r="W72" s="225"/>
      <c r="X72" s="226"/>
      <c r="Y72" s="225"/>
      <c r="Z72" s="225"/>
      <c r="AA72" s="280"/>
      <c r="AB72" s="225"/>
      <c r="AC72" s="225"/>
      <c r="AD72" s="225"/>
      <c r="AE72" s="225"/>
      <c r="AF72" s="116"/>
      <c r="AG72" s="116"/>
      <c r="AH72" s="116"/>
      <c r="AI72" s="116"/>
      <c r="AJ72" s="116"/>
      <c r="AK72" s="116"/>
      <c r="AL72" s="116"/>
      <c r="AM72" s="116"/>
      <c r="AN72"/>
      <c r="AO72"/>
      <c r="AP72"/>
      <c r="AQ72"/>
      <c r="AR72"/>
      <c r="AS72"/>
      <c r="AT72" s="280"/>
      <c r="AU72" s="280"/>
      <c r="AV72" s="280"/>
      <c r="AW72" s="280"/>
      <c r="AX72" s="280"/>
      <c r="AY72" s="280"/>
      <c r="AZ72" s="280"/>
      <c r="BA72" s="280"/>
      <c r="BB72" s="280"/>
      <c r="BC72" s="280"/>
      <c r="BD72" s="280"/>
      <c r="BE72" s="280"/>
      <c r="BF72" s="280"/>
      <c r="BG72" s="280"/>
      <c r="BH72" s="280"/>
      <c r="BI72" s="280"/>
      <c r="BJ72" s="280"/>
      <c r="BK72"/>
      <c r="BL72"/>
      <c r="BM72" s="280"/>
      <c r="BN72"/>
      <c r="BO72"/>
      <c r="BP72"/>
      <c r="BQ72"/>
      <c r="BR72"/>
      <c r="BS72"/>
      <c r="BT72"/>
      <c r="BU72"/>
      <c r="BV72"/>
      <c r="BW72"/>
      <c r="BX72"/>
      <c r="BY72"/>
    </row>
    <row r="73" spans="1:77" s="204" customFormat="1" ht="27" customHeight="1">
      <c r="B73" s="217"/>
      <c r="E73" s="218"/>
      <c r="F73" s="219"/>
      <c r="G73"/>
      <c r="H73"/>
      <c r="I73"/>
      <c r="J73"/>
      <c r="K73"/>
      <c r="L73"/>
      <c r="M73"/>
      <c r="N73"/>
      <c r="O73" s="225"/>
      <c r="P73" s="225"/>
      <c r="Q73" s="225"/>
      <c r="R73" s="226"/>
      <c r="S73" s="225"/>
      <c r="T73" s="227"/>
      <c r="U73" s="228"/>
      <c r="V73" s="227"/>
      <c r="W73" s="225"/>
      <c r="X73" s="226"/>
      <c r="Y73" s="225"/>
      <c r="Z73" s="225"/>
      <c r="AA73" s="280"/>
      <c r="AB73" s="225"/>
      <c r="AC73" s="225"/>
      <c r="AD73" s="225"/>
      <c r="AE73" s="225"/>
      <c r="AF73" s="116"/>
      <c r="AG73" s="116"/>
      <c r="AH73" s="116"/>
      <c r="AI73" s="116"/>
      <c r="AJ73" s="116"/>
      <c r="AK73" s="116"/>
      <c r="AL73" s="116"/>
      <c r="AM73" s="116"/>
      <c r="AN73"/>
      <c r="AO73"/>
      <c r="AP73"/>
      <c r="AQ73"/>
      <c r="AR73"/>
      <c r="AS73"/>
      <c r="AT73" s="280"/>
      <c r="AU73" s="280"/>
      <c r="AV73" s="280"/>
      <c r="AW73" s="280"/>
      <c r="AX73" s="280"/>
      <c r="AY73" s="280"/>
      <c r="AZ73" s="280"/>
      <c r="BA73" s="280"/>
      <c r="BB73" s="280"/>
      <c r="BC73" s="280"/>
      <c r="BD73" s="280"/>
      <c r="BE73" s="280"/>
      <c r="BF73" s="280"/>
      <c r="BG73" s="280"/>
      <c r="BH73" s="280"/>
      <c r="BI73" s="280"/>
      <c r="BJ73" s="280"/>
      <c r="BK73"/>
      <c r="BL73"/>
      <c r="BM73" s="280"/>
      <c r="BN73"/>
      <c r="BO73"/>
      <c r="BP73"/>
      <c r="BQ73"/>
      <c r="BR73"/>
      <c r="BS73"/>
      <c r="BT73"/>
      <c r="BU73"/>
      <c r="BV73"/>
      <c r="BW73"/>
      <c r="BX73"/>
      <c r="BY73"/>
    </row>
    <row r="74" spans="1:77" s="204" customFormat="1" ht="27" customHeight="1">
      <c r="B74" s="217"/>
      <c r="E74" s="218"/>
      <c r="F74" s="219"/>
      <c r="G74"/>
      <c r="H74"/>
      <c r="I74"/>
      <c r="J74"/>
      <c r="K74"/>
      <c r="L74"/>
      <c r="M74"/>
      <c r="N74"/>
      <c r="O74" s="225"/>
      <c r="P74" s="225"/>
      <c r="Q74" s="225"/>
      <c r="R74" s="226"/>
      <c r="S74" s="225"/>
      <c r="T74" s="227"/>
      <c r="U74" s="228"/>
      <c r="V74" s="227"/>
      <c r="W74" s="225"/>
      <c r="X74" s="226"/>
      <c r="Y74" s="225"/>
      <c r="Z74" s="225"/>
      <c r="AA74" s="280"/>
      <c r="AB74" s="225"/>
      <c r="AC74" s="225"/>
      <c r="AD74" s="225"/>
      <c r="AE74" s="225"/>
      <c r="AF74" s="116"/>
      <c r="AG74" s="116"/>
      <c r="AH74" s="116"/>
      <c r="AI74" s="116"/>
      <c r="AJ74" s="116"/>
      <c r="AK74" s="116"/>
      <c r="AL74" s="116"/>
      <c r="AM74" s="116"/>
      <c r="AN74"/>
      <c r="AO74"/>
      <c r="AP74"/>
      <c r="AQ74"/>
      <c r="AR74"/>
      <c r="AS74"/>
      <c r="AT74" s="280"/>
      <c r="AU74" s="280"/>
      <c r="AV74" s="280"/>
      <c r="AW74" s="280"/>
      <c r="AX74" s="280"/>
      <c r="AY74" s="280"/>
      <c r="AZ74" s="280"/>
      <c r="BA74" s="280"/>
      <c r="BB74" s="280"/>
      <c r="BC74" s="280"/>
      <c r="BD74" s="280"/>
      <c r="BE74" s="280"/>
      <c r="BF74" s="280"/>
      <c r="BG74" s="280"/>
      <c r="BH74" s="280"/>
      <c r="BI74" s="280"/>
      <c r="BJ74" s="280"/>
      <c r="BK74"/>
      <c r="BL74"/>
      <c r="BM74" s="280"/>
      <c r="BN74"/>
      <c r="BO74"/>
      <c r="BP74"/>
      <c r="BQ74"/>
      <c r="BR74"/>
      <c r="BS74"/>
      <c r="BT74"/>
      <c r="BU74"/>
      <c r="BV74"/>
      <c r="BW74"/>
      <c r="BX74"/>
      <c r="BY74"/>
    </row>
    <row r="75" spans="1:77" s="204" customFormat="1" ht="27" customHeight="1">
      <c r="B75" s="217"/>
      <c r="E75" s="218"/>
      <c r="F75" s="219"/>
      <c r="G75"/>
      <c r="H75"/>
      <c r="I75"/>
      <c r="J75"/>
      <c r="K75"/>
      <c r="L75"/>
      <c r="M75"/>
      <c r="N75"/>
      <c r="O75" s="225"/>
      <c r="P75" s="225"/>
      <c r="Q75" s="225"/>
      <c r="R75" s="226"/>
      <c r="S75" s="225"/>
      <c r="T75" s="227"/>
      <c r="U75" s="228"/>
      <c r="V75" s="227"/>
      <c r="W75" s="225"/>
      <c r="X75" s="226"/>
      <c r="Y75" s="225"/>
      <c r="Z75" s="225"/>
      <c r="AA75" s="280"/>
      <c r="AB75" s="225"/>
      <c r="AC75" s="225"/>
      <c r="AD75" s="225"/>
      <c r="AE75" s="225"/>
      <c r="AF75" s="116"/>
      <c r="AG75" s="116"/>
      <c r="AH75" s="116"/>
      <c r="AI75" s="116"/>
      <c r="AJ75" s="116"/>
      <c r="AK75" s="116"/>
      <c r="AL75" s="116"/>
      <c r="AM75" s="116"/>
      <c r="AN75"/>
      <c r="AO75"/>
      <c r="AP75"/>
      <c r="AQ75"/>
      <c r="AR75"/>
      <c r="AS75"/>
      <c r="AT75" s="280"/>
      <c r="AU75" s="280"/>
      <c r="AV75" s="280"/>
      <c r="AW75" s="280"/>
      <c r="AX75" s="280"/>
      <c r="AY75" s="280"/>
      <c r="AZ75" s="280"/>
      <c r="BA75" s="280"/>
      <c r="BB75" s="280"/>
      <c r="BC75" s="280"/>
      <c r="BD75" s="280"/>
      <c r="BE75" s="280"/>
      <c r="BF75" s="280"/>
      <c r="BG75" s="280"/>
      <c r="BH75" s="280"/>
      <c r="BI75" s="280"/>
      <c r="BJ75" s="280"/>
      <c r="BK75"/>
      <c r="BL75"/>
      <c r="BM75" s="280"/>
      <c r="BN75"/>
      <c r="BO75"/>
      <c r="BP75"/>
      <c r="BQ75"/>
      <c r="BR75"/>
      <c r="BS75"/>
      <c r="BT75"/>
      <c r="BU75"/>
      <c r="BV75"/>
      <c r="BW75"/>
      <c r="BX75"/>
      <c r="BY75"/>
    </row>
    <row r="76" spans="1:77" s="204" customFormat="1" ht="27" customHeight="1">
      <c r="B76" s="217"/>
      <c r="E76" s="218"/>
      <c r="F76" s="219"/>
      <c r="G76"/>
      <c r="H76"/>
      <c r="I76"/>
      <c r="J76"/>
      <c r="K76"/>
      <c r="L76"/>
      <c r="M76"/>
      <c r="N76"/>
      <c r="O76" s="225"/>
      <c r="P76" s="225"/>
      <c r="Q76" s="225"/>
      <c r="R76" s="226"/>
      <c r="S76" s="225"/>
      <c r="T76" s="227"/>
      <c r="U76" s="228"/>
      <c r="V76" s="227"/>
      <c r="W76" s="225"/>
      <c r="X76" s="226"/>
      <c r="Y76" s="225"/>
      <c r="Z76" s="225"/>
      <c r="AA76" s="280"/>
      <c r="AB76" s="225"/>
      <c r="AC76" s="225"/>
      <c r="AD76" s="225"/>
      <c r="AE76" s="225"/>
      <c r="AF76" s="116"/>
      <c r="AG76" s="116"/>
      <c r="AH76" s="116"/>
      <c r="AI76" s="116"/>
      <c r="AJ76" s="116"/>
      <c r="AK76" s="116"/>
      <c r="AL76" s="116"/>
      <c r="AM76" s="116"/>
      <c r="AN76"/>
      <c r="AO76"/>
      <c r="AP76"/>
      <c r="AQ76"/>
      <c r="AR76"/>
      <c r="AS76"/>
      <c r="AT76" s="280"/>
      <c r="AU76" s="280"/>
      <c r="AV76" s="280"/>
      <c r="AW76" s="280"/>
      <c r="AX76" s="280"/>
      <c r="AY76" s="280"/>
      <c r="AZ76" s="280"/>
      <c r="BA76" s="280"/>
      <c r="BB76" s="280"/>
      <c r="BC76" s="280"/>
      <c r="BD76" s="280"/>
      <c r="BE76" s="280"/>
      <c r="BF76" s="280"/>
      <c r="BG76" s="280"/>
      <c r="BH76" s="280"/>
      <c r="BI76" s="280"/>
      <c r="BJ76" s="280"/>
      <c r="BK76"/>
      <c r="BL76"/>
      <c r="BM76" s="280"/>
      <c r="BN76"/>
      <c r="BO76"/>
      <c r="BP76"/>
      <c r="BQ76"/>
      <c r="BR76"/>
      <c r="BS76"/>
      <c r="BT76"/>
      <c r="BU76"/>
      <c r="BV76"/>
      <c r="BW76"/>
      <c r="BX76"/>
      <c r="BY76"/>
    </row>
  </sheetData>
  <autoFilter ref="A6:BY6"/>
  <mergeCells count="27">
    <mergeCell ref="M17:M18"/>
    <mergeCell ref="M21:M22"/>
    <mergeCell ref="A1:BK1"/>
    <mergeCell ref="A2:BK2"/>
    <mergeCell ref="A3:BK3"/>
    <mergeCell ref="A4:BK4"/>
    <mergeCell ref="A5:AM5"/>
    <mergeCell ref="AN5:BJ5"/>
    <mergeCell ref="J7:J8"/>
    <mergeCell ref="K7:K8"/>
    <mergeCell ref="M7:M9"/>
    <mergeCell ref="M10:M13"/>
    <mergeCell ref="J12:J13"/>
    <mergeCell ref="K12:K13"/>
    <mergeCell ref="N21:N22"/>
    <mergeCell ref="O21:O22"/>
    <mergeCell ref="P21:P22"/>
    <mergeCell ref="O44:P44"/>
    <mergeCell ref="A45:AM45"/>
    <mergeCell ref="M23:M24"/>
    <mergeCell ref="BI47:BJ47"/>
    <mergeCell ref="M26:M28"/>
    <mergeCell ref="O31:P31"/>
    <mergeCell ref="M32:M36"/>
    <mergeCell ref="O37:P37"/>
    <mergeCell ref="M38:M39"/>
    <mergeCell ref="M41:M42"/>
  </mergeCells>
  <pageMargins left="0.7" right="0.7" top="0.75" bottom="0.75" header="0.3" footer="0.3"/>
  <pageSetup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PLAN DE ACCION 2024</vt:lpstr>
      <vt:lpstr>borrador plan de accion</vt:lpstr>
      <vt:lpstr>presu inicial 2024</vt:lpstr>
      <vt:lpstr>poai 2024</vt:lpstr>
      <vt:lpstr>'PLAN DE ACCION 2024'!Área_de_impresión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Elpidia</cp:lastModifiedBy>
  <cp:lastPrinted>2023-02-15T20:01:05Z</cp:lastPrinted>
  <dcterms:created xsi:type="dcterms:W3CDTF">2022-07-07T16:43:28Z</dcterms:created>
  <dcterms:modified xsi:type="dcterms:W3CDTF">2024-01-30T13:42:09Z</dcterms:modified>
</cp:coreProperties>
</file>